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workbook>
</file>

<file path=xl/calcChain.xml><?xml version="1.0" encoding="utf-8"?>
<calcChain xmlns="http://schemas.openxmlformats.org/spreadsheetml/2006/main">
  <c r="CQ33" i="10" l="1"/>
  <c r="CQ18" i="10"/>
  <c r="E100" i="3"/>
  <c r="E99" i="3"/>
  <c r="E98" i="3"/>
  <c r="E101" i="3"/>
  <c r="E97" i="3"/>
  <c r="E95" i="3"/>
  <c r="E102" i="3"/>
  <c r="E51" i="3"/>
  <c r="E46" i="3"/>
  <c r="E44" i="3"/>
  <c r="E45" i="3"/>
  <c r="E40" i="3"/>
  <c r="E39" i="3"/>
  <c r="E107" i="3" l="1"/>
  <c r="E18" i="3"/>
  <c r="E6" i="3"/>
  <c r="X99" i="3" l="1"/>
  <c r="T99" i="3"/>
  <c r="X98" i="3"/>
  <c r="T98" i="3"/>
  <c r="X45" i="3"/>
  <c r="T45" i="3"/>
  <c r="X72" i="3"/>
  <c r="T72" i="3"/>
  <c r="E72" i="3"/>
  <c r="X51" i="3"/>
  <c r="T51" i="3"/>
  <c r="X39" i="3"/>
  <c r="T39" i="3"/>
  <c r="X95" i="3" l="1"/>
  <c r="T95" i="3"/>
  <c r="X94" i="3"/>
  <c r="T94" i="3"/>
  <c r="E94" i="3"/>
  <c r="X102" i="3"/>
  <c r="T102" i="3"/>
  <c r="E15" i="3"/>
  <c r="T15" i="3"/>
  <c r="X22" i="3" l="1"/>
  <c r="W22" i="3"/>
  <c r="V22" i="3"/>
  <c r="U22" i="3"/>
  <c r="T22" i="3"/>
  <c r="E22" i="3"/>
  <c r="E29" i="3" l="1"/>
  <c r="T11" i="3" l="1"/>
  <c r="E47" i="3" l="1"/>
  <c r="W72" i="3" l="1"/>
  <c r="V72" i="3"/>
  <c r="U72" i="3"/>
  <c r="W51" i="3"/>
  <c r="V51" i="3"/>
  <c r="U51" i="3"/>
  <c r="X46" i="3"/>
  <c r="W46" i="3"/>
  <c r="V46" i="3"/>
  <c r="U46" i="3"/>
  <c r="T46" i="3"/>
  <c r="X44" i="3"/>
  <c r="W44" i="3"/>
  <c r="V44" i="3"/>
  <c r="U44" i="3"/>
  <c r="T44" i="3"/>
  <c r="W40" i="3"/>
  <c r="V40" i="3"/>
  <c r="U40"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E41" i="3" l="1"/>
  <c r="CU18" i="10" l="1"/>
  <c r="CU33" i="10"/>
  <c r="E11" i="3"/>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Q22" i="26" s="1"/>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l="1"/>
  <c r="M364" i="18"/>
  <c r="J364" i="18"/>
  <c r="G359" i="18"/>
  <c r="G354" i="18" s="1"/>
  <c r="G364" i="18" s="1"/>
  <c r="F363" i="18"/>
  <c r="F362" i="18"/>
  <c r="F361" i="18"/>
  <c r="F360" i="18"/>
  <c r="F358" i="18"/>
  <c r="F357" i="18"/>
  <c r="F356" i="18"/>
  <c r="F355" i="18"/>
  <c r="F199" i="16" l="1"/>
  <c r="D199" i="16"/>
  <c r="E198" i="16"/>
  <c r="F57" i="16"/>
  <c r="I51" i="3" l="1"/>
  <c r="I68" i="3" l="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G68" i="18"/>
  <c r="G67" i="18"/>
  <c r="N160" i="16"/>
  <c r="S152" i="16" s="1"/>
  <c r="C158" i="16"/>
  <c r="C156" i="16"/>
  <c r="C154" i="16"/>
  <c r="G153" i="16"/>
  <c r="F120" i="16"/>
  <c r="Q120" i="16" s="1"/>
  <c r="J70" i="18" l="1"/>
  <c r="J423" i="18"/>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<sst xmlns="http://schemas.openxmlformats.org/spreadsheetml/2006/main" count="6040" uniqueCount="988">
  <si>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</si>
  <si>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</si>
  <si>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</si>
  <si>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</si>
  <si>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</si>
  <si>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</si>
  <si>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</si>
  <si>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</si>
  <si>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</si>
  <si>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</si>
  <si>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</si>
  <si>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</si>
  <si>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</si>
  <si>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</si>
  <si>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</si>
  <si>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</si>
  <si>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</si>
  <si>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</si>
  <si>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</si>
  <si>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</si>
  <si>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</si>
  <si>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</si>
  <si>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</si>
  <si>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</si>
  <si>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</si>
  <si>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</si>
  <si>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</si>
  <si>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</si>
  <si>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</si>
  <si>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</si>
  <si>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</si>
  <si>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</si>
  <si>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</si>
  <si>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</si>
  <si>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</si>
  <si>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</si>
  <si>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</si>
  <si>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</si>
  <si>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</si>
  <si>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</si>
  <si>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</si>
  <si>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</si>
  <si>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</si>
  <si>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</si>
  <si>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</si>
  <si>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</si>
  <si>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</si>
  <si>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</si>
  <si>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</si>
  <si>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</si>
  <si>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</si>
  <si>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</si>
  <si>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</si>
  <si>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</si>
  <si>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</si>
  <si>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</si>
  <si>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</si>
  <si>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</si>
  <si>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</si>
  <si>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</si>
  <si>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</si>
  <si>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</si>
  <si>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</si>
  <si>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</si>
  <si>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</si>
  <si>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</si>
  <si>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</si>
  <si>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</si>
  <si>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</si>
  <si>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</si>
  <si>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</si>
  <si>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</si>
  <si>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</si>
  <si>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</si>
  <si>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</si>
  <si>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</si>
  <si>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</si>
  <si>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</si>
  <si>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</si>
  <si>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</si>
  <si>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</si>
  <si>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</si>
  <si>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</si>
  <si>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</si>
  <si>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</si>
  <si>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</si>
  <si>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</si>
  <si>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</si>
  <si>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</si>
  <si>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</si>
  <si>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</si>
  <si>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</si>
  <si>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</si>
  <si>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</si>
  <si>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</si>
  <si>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</si>
  <si>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</si>
  <si>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</si>
  <si>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</si>
  <si>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</si>
  <si>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</si>
  <si>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</si>
  <si>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</si>
  <si>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</si>
  <si>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</si>
  <si>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</si>
  <si>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</si>
  <si>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</si>
  <si>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</si>
  <si>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</si>
  <si>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</si>
  <si>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</si>
  <si>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</si>
  <si>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</si>
  <si>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</si>
  <si>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</si>
  <si>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</si>
  <si>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</si>
  <si>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</si>
  <si>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</si>
  <si>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</si>
  <si>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</si>
  <si>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</si>
  <si>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</si>
  <si>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</si>
  <si>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</si>
  <si>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</si>
  <si>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</si>
  <si>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</si>
  <si>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</si>
  <si>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</si>
  <si>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</si>
  <si>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</si>
  <si>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</si>
  <si>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</si>
  <si>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</si>
  <si>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</si>
  <si>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</si>
  <si>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</si>
  <si>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</si>
  <si>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</si>
  <si>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</si>
  <si>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</si>
  <si>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</si>
  <si>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</si>
  <si>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</si>
  <si>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</si>
  <si>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</si>
  <si>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</si>
  <si>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</si>
  <si>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</si>
  <si>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</si>
  <si>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</si>
  <si>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</si>
  <si>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</si>
  <si>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</si>
  <si>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</si>
  <si>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</si>
  <si>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</si>
  <si>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</si>
  <si>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</si>
  <si>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</si>
  <si>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</si>
  <si>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</si>
  <si>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</si>
  <si>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</si>
  <si>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</si>
  <si>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</si>
  <si>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</si>
  <si>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</si>
  <si>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</si>
  <si>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</si>
  <si>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</si>
  <si>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</si>
  <si>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</si>
  <si>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</si>
  <si>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</si>
  <si>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</si>
  <si>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</si>
  <si>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</si>
  <si>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</si>
  <si>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</si>
  <si>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</si>
  <si>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</si>
  <si>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</si>
  <si>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</si>
  <si>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</si>
  <si>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</si>
  <si>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</si>
  <si>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</si>
  <si>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</si>
  <si>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</si>
  <si>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</si>
  <si>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</si>
  <si>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</si>
  <si>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</si>
  <si>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</si>
  <si>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</si>
  <si>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</si>
  <si>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</si>
  <si>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</si>
  <si>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</si>
  <si>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</si>
  <si>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</si>
  <si>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</si>
  <si>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</si>
  <si>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</si>
  <si>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</si>
  <si>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</si>
  <si>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</si>
  <si>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</si>
  <si>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</si>
  <si>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</si>
  <si>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</si>
  <si>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</si>
  <si>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</si>
  <si>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</si>
  <si>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</si>
  <si>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</si>
  <si>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</si>
  <si>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</si>
  <si>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</si>
  <si>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</si>
  <si>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</si>
  <si>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</si>
  <si>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</si>
  <si>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</si>
  <si>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</si>
  <si>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</si>
  <si>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</si>
  <si>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</si>
  <si>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</si>
  <si>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</si>
  <si>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</si>
  <si>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</si>
  <si>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</si>
  <si>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</si>
  <si>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</si>
  <si>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</si>
  <si>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</si>
  <si>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</si>
  <si>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</si>
  <si>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</si>
  <si>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</si>
  <si>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</si>
  <si>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</si>
  <si>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</si>
  <si>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</si>
  <si>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</si>
  <si>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</si>
  <si>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</si>
  <si>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</si>
  <si>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</si>
  <si>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</si>
  <si>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</si>
  <si>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</si>
  <si>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</si>
  <si>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</si>
  <si>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</si>
  <si>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</si>
  <si>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</si>
  <si>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</si>
  <si>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</si>
  <si>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</si>
  <si>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</si>
  <si>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</si>
  <si>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</si>
  <si>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</si>
  <si>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</si>
  <si>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</si>
  <si>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</si>
  <si>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</si>
  <si>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</si>
  <si>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</si>
  <si>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</si>
  <si>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</si>
  <si>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</si>
  <si>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</si>
  <si>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</si>
  <si>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</si>
  <si>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</si>
  <si>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</si>
  <si>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</si>
  <si>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</si>
  <si>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</si>
  <si>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</si>
  <si>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</si>
  <si>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</si>
  <si>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</si>
  <si>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</si>
  <si>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</si>
  <si>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</si>
  <si>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</si>
  <si>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</si>
  <si>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</si>
  <si>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</si>
  <si>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</si>
  <si>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</si>
  <si>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</si>
  <si>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</si>
  <si>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</si>
  <si>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</si>
  <si>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</si>
  <si>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</si>
  <si>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</si>
  <si>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</si>
  <si>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</si>
  <si>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</si>
  <si>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</si>
  <si>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</si>
  <si>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</si>
  <si>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</si>
  <si>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</si>
  <si>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</si>
  <si>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</si>
  <si>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</si>
  <si>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</si>
  <si>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</si>
  <si>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</si>
  <si>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</si>
  <si>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</si>
  <si>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</si>
  <si>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</si>
  <si>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</si>
  <si>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</si>
  <si>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</si>
  <si>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</si>
  <si>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</si>
  <si>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</si>
  <si>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</si>
  <si>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</si>
  <si>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</si>
  <si>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</si>
  <si>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</si>
  <si>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</si>
  <si>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</si>
  <si>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</si>
  <si>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</si>
  <si>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</si>
  <si>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</si>
  <si>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</si>
  <si>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</si>
  <si>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</si>
  <si>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</si>
  <si>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</si>
  <si>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</si>
  <si>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</si>
  <si>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</si>
  <si>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</si>
  <si>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</si>
  <si>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</si>
  <si>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</si>
  <si>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</si>
  <si>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</si>
  <si>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</si>
  <si>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</si>
  <si>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</si>
  <si>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</si>
  <si>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</si>
  <si>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</si>
  <si>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</si>
  <si>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</si>
  <si>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</si>
  <si>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</si>
  <si>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</si>
  <si>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</si>
  <si>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</si>
  <si>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</si>
  <si>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</si>
  <si>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</si>
  <si>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</si>
  <si>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</si>
  <si>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</si>
  <si>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</si>
  <si>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</si>
  <si>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</si>
  <si>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</si>
  <si>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</si>
  <si>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</si>
  <si>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</si>
  <si>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</si>
  <si>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</si>
  <si>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</si>
  <si>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</si>
  <si>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</si>
  <si>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</si>
  <si>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</si>
  <si>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</si>
  <si>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</si>
  <si>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</si>
  <si>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</si>
  <si>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</si>
  <si>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</si>
  <si>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</si>
  <si>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</si>
  <si>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</si>
  <si>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</si>
  <si>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</si>
  <si>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</si>
  <si>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</si>
  <si>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</si>
  <si>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</si>
  <si>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</si>
  <si>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</si>
  <si>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</si>
  <si>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</si>
  <si>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</si>
  <si>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</si>
  <si>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</si>
  <si>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</si>
  <si>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</si>
  <si>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</si>
  <si>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</si>
  <si>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</si>
  <si>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</si>
  <si>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</si>
  <si>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</si>
  <si>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</si>
  <si>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</si>
  <si>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</si>
  <si>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</si>
  <si>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</si>
  <si>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</si>
  <si>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</si>
  <si>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</si>
  <si>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</si>
  <si>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</si>
  <si>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</si>
  <si>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</si>
  <si>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</si>
  <si>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</si>
  <si>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</si>
  <si>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</si>
  <si>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</si>
  <si>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</si>
  <si>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</si>
  <si>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</si>
  <si>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</si>
  <si>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</si>
  <si>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</si>
  <si>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</si>
  <si>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</si>
  <si>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</si>
  <si>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</si>
  <si>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</si>
  <si>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</si>
  <si>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</si>
  <si>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</si>
  <si>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</si>
  <si>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</si>
  <si>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</si>
  <si>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</si>
  <si>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</si>
  <si>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</si>
  <si>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</si>
  <si>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</si>
  <si>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</si>
  <si>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</si>
  <si>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</si>
  <si>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</si>
  <si>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</si>
  <si>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</si>
  <si>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</si>
  <si>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</si>
  <si>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</si>
  <si>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</si>
  <si>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</si>
  <si>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</si>
  <si>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</si>
  <si>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</si>
  <si>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</si>
  <si>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</si>
  <si>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</si>
  <si>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</si>
  <si>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</si>
  <si>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</si>
  <si>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</si>
  <si>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</si>
  <si>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</si>
  <si>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</si>
  <si>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</si>
  <si>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</si>
  <si>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</si>
  <si>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</si>
  <si>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</si>
  <si>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</si>
  <si>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</si>
  <si>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</si>
  <si>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</si>
  <si>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</si>
  <si>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</si>
  <si>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</si>
  <si>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</si>
  <si>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</si>
  <si>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</si>
  <si>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</si>
  <si>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</si>
  <si>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</si>
  <si>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</si>
  <si>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</si>
  <si>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</si>
  <si>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</si>
  <si>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</si>
  <si>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</si>
  <si>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</si>
  <si>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</si>
  <si>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</si>
  <si>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</si>
  <si>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</si>
  <si>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</si>
  <si>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</si>
  <si>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</si>
  <si>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</si>
  <si>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</si>
  <si>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</si>
  <si>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</si>
  <si>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</si>
  <si>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</si>
  <si>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</si>
  <si>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</si>
  <si>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</si>
  <si>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</si>
  <si>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</si>
  <si>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</si>
  <si>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</si>
  <si>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</si>
  <si>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</si>
  <si>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</si>
  <si>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</si>
  <si>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</si>
  <si>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</si>
  <si>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</si>
  <si>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</si>
  <si>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</si>
  <si>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</si>
  <si>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</si>
  <si>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</si>
  <si>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</si>
  <si>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</si>
  <si>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</si>
  <si>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</si>
  <si>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</si>
  <si>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</si>
  <si>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</si>
  <si>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</si>
  <si>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</si>
  <si>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</si>
  <si>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</si>
  <si>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</si>
  <si>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</si>
  <si>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</si>
  <si>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</si>
  <si>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</si>
  <si>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</si>
  <si>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</si>
  <si>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</si>
  <si>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</si>
  <si>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</si>
  <si>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</si>
  <si>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</si>
  <si>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</si>
  <si>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</si>
  <si>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</si>
  <si>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</si>
  <si>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</si>
  <si>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</si>
  <si>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</si>
  <si>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</si>
  <si>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</si>
  <si>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</si>
  <si>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</si>
  <si>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</si>
  <si>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</si>
  <si>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</si>
  <si>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</si>
  <si>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</si>
  <si>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</si>
  <si>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</si>
  <si>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</si>
  <si>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</si>
  <si>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</si>
  <si>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</si>
  <si>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</si>
  <si>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</si>
  <si>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</si>
  <si>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</si>
  <si>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</si>
  <si>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</si>
  <si>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</si>
  <si>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</si>
  <si>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</si>
  <si>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</si>
  <si>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</si>
  <si>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</si>
  <si>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</si>
  <si>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</si>
  <si>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</si>
  <si>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</si>
  <si>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</si>
  <si>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</si>
  <si>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</si>
  <si>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</si>
  <si>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</si>
  <si>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</si>
  <si>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</si>
  <si>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</si>
  <si>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</si>
  <si>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</si>
  <si>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</si>
  <si>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</si>
  <si>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</si>
  <si>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</si>
  <si>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</si>
  <si>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</si>
  <si>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</si>
  <si>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</si>
  <si>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</si>
  <si>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</si>
  <si>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</si>
  <si>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</si>
  <si>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</si>
  <si>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</si>
  <si>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</si>
  <si>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</si>
  <si>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</si>
  <si>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</si>
  <si>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</si>
  <si>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</si>
  <si>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</si>
  <si>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</si>
  <si>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</si>
  <si>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</si>
  <si>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</si>
  <si>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</si>
  <si>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</si>
  <si>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</si>
  <si>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</si>
  <si>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</si>
  <si>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</si>
  <si>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</si>
  <si>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</si>
  <si>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</si>
  <si>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</si>
  <si>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</si>
  <si>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</si>
  <si>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</si>
  <si>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</si>
  <si>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</si>
  <si>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</si>
  <si>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</si>
  <si>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</si>
  <si>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</si>
  <si>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</si>
  <si>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</si>
  <si>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</si>
  <si>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</si>
  <si>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</si>
  <si>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</si>
  <si>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</si>
  <si>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</si>
  <si>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</si>
  <si>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</si>
  <si>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</si>
  <si>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</si>
  <si>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</si>
  <si>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</si>
  <si>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</si>
  <si>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</si>
  <si>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</si>
  <si>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</si>
  <si>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</si>
  <si>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</si>
  <si>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</si>
  <si>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</si>
  <si>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</si>
  <si>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</si>
  <si>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</si>
  <si>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</si>
  <si>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</si>
  <si>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</si>
  <si>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</si>
  <si>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</si>
  <si>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</si>
  <si>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</si>
  <si>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</si>
  <si>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</si>
  <si>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</si>
  <si>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</si>
  <si>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</si>
  <si>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</si>
  <si>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</si>
  <si>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</si>
  <si>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</si>
  <si>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</si>
  <si>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</si>
  <si>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</si>
  <si>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</si>
  <si>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</si>
  <si>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</si>
  <si>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</si>
  <si>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</si>
  <si>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</si>
  <si>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</si>
  <si>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</si>
  <si>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</si>
  <si>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</si>
  <si>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</si>
  <si>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</si>
  <si>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</si>
  <si>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</si>
  <si>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</si>
  <si>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</si>
  <si>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</si>
  <si>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</si>
  <si>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</si>
  <si>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</si>
  <si>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</si>
  <si>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</si>
  <si>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</si>
  <si>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</si>
  <si>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</si>
  <si>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</si>
  <si>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</si>
  <si>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</si>
  <si>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</si>
  <si>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</si>
  <si>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</si>
  <si>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</si>
  <si>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</si>
  <si>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</si>
  <si>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</si>
  <si>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</si>
  <si>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</si>
  <si>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</si>
  <si>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</si>
  <si>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</si>
  <si>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</si>
  <si>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</si>
  <si>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</si>
  <si>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</si>
  <si>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</si>
  <si>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</si>
  <si>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</si>
  <si>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</si>
  <si>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</si>
  <si>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</si>
  <si>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</si>
  <si>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</si>
  <si>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</si>
  <si>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</si>
  <si>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</si>
  <si>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</si>
  <si>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</si>
  <si>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</si>
  <si>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</si>
  <si>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</si>
  <si>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</si>
  <si>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</si>
  <si>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</si>
  <si>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</si>
  <si>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</si>
  <si>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</si>
  <si>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</si>
  <si>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</si>
  <si>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</si>
  <si>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</si>
  <si>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</si>
  <si>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</si>
  <si>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</si>
  <si>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</si>
  <si>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</si>
  <si>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</si>
  <si>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</si>
  <si>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</si>
  <si>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</si>
  <si>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</si>
  <si>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</si>
  <si>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</si>
  <si>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</si>
  <si>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</si>
  <si>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</si>
  <si>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</si>
  <si>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</si>
  <si>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</si>
  <si>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</si>
  <si>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</si>
  <si>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</si>
  <si>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</si>
  <si>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</si>
  <si>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</si>
  <si>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</si>
  <si>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</si>
  <si>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</si>
  <si>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</si>
  <si>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</si>
  <si>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</si>
  <si>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</si>
  <si>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</si>
  <si>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</si>
  <si>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</si>
  <si>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</si>
  <si>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</si>
  <si>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</si>
  <si>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</si>
  <si>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</si>
  <si>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</si>
  <si>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</si>
  <si>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</si>
  <si>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</si>
  <si>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</si>
  <si>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</si>
  <si>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</si>
  <si>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</si>
  <si>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</si>
  <si>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</si>
  <si>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</si>
  <si>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</si>
  <si>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</si>
  <si>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</si>
  <si>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</si>
  <si>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</si>
  <si>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</si>
  <si>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</si>
  <si>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</si>
  <si>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</si>
  <si>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</si>
  <si>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</si>
  <si>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</si>
  <si>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</si>
  <si>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</si>
  <si>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</si>
  <si>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</si>
  <si>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</si>
  <si>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</si>
  <si>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</si>
  <si>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</si>
  <si>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</si>
  <si>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</si>
  <si>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</si>
  <si>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</si>
  <si>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</si>
  <si>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</si>
  <si>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</si>
  <si>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</si>
  <si>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</si>
  <si>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</si>
  <si>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</si>
  <si>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</si>
  <si>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</si>
  <si>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</si>
  <si>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</si>
  <si>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</si>
  <si>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</si>
  <si>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</si>
  <si>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</si>
  <si>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</si>
  <si>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</si>
  <si>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</si>
  <si>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</si>
  <si>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</si>
  <si>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</si>
  <si>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</si>
  <si>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</si>
  <si>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</si>
  <si>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</si>
  <si>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</si>
  <si>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</si>
  <si>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</si>
  <si>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</si>
  <si>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</si>
  <si>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</si>
  <si>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</si>
  <si>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</si>
  <si>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</si>
  <si>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</si>
  <si>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</si>
  <si>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</si>
  <si>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</si>
  <si>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</si>
  <si>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</si>
  <si>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</si>
  <si>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</si>
  <si>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</si>
  <si>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</si>
  <si>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</si>
  <si>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</si>
  <si>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</si>
  <si>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</si>
  <si>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</si>
  <si>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</si>
  <si>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</si>
  <si>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</si>
  <si>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</si>
  <si>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</si>
  <si>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</si>
  <si>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</si>
  <si>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</si>
  <si>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</si>
  <si>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</si>
  <si>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</si>
  <si>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</si>
  <si>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</si>
  <si>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</si>
  <si>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</si>
  <si>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</si>
  <si>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</si>
  <si>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</si>
  <si>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</si>
  <si>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</si>
  <si>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</si>
  <si>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</si>
  <si>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</si>
  <si>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</si>
  <si>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</si>
  <si>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</si>
  <si>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</si>
  <si>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</si>
  <si>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</si>
  <si>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</si>
  <si>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</si>
  <si>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</si>
  <si>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</si>
  <si>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</si>
  <si>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</si>
  <si>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</si>
  <si>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</si>
  <si>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</si>
  <si>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</si>
  <si>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</si>
  <si>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</si>
  <si>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</si>
  <si>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</si>
  <si>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</si>
  <si>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</si>
  <si>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</si>
  <si>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</si>
  <si>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</si>
  <si>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</si>
  <si>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</si>
  <si>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</si>
  <si>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</si>
  <si>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</si>
  <si>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</si>
  <si>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</si>
  <si>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</si>
  <si>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</si>
  <si>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</si>
  <si>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</si>
  <si>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</si>
  <si>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</si>
  <si>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</si>
  <si>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</si>
  <si>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</si>
  <si>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</si>
  <si>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</si>
  <si>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</si>
  <si>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</si>
  <si>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</si>
  <si>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</si>
  <si>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</si>
  <si>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</si>
  <si>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</si>
  <si>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</si>
  <si>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</si>
  <si>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</si>
  <si>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</si>
  <si>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</si>
  <si>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</si>
  <si>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</si>
  <si>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</si>
  <si>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</si>
  <si>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</si>
  <si>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</si>
  <si>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</si>
  <si>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</si>
  <si>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</si>
  <si>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</si>
  <si>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</si>
  <si>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</si>
  <si>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</si>
  <si>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</si>
  <si>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</si>
  <si>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</si>
  <si>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</si>
  <si>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</si>
  <si>
    <t>от "_____" ________________ 2026г.</t>
  </si>
  <si>
    <t>"_____" _______________ 2026 г.</t>
  </si>
  <si>
    <t>26</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</si>
</sst>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47">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4" fontId="65" fillId="0" borderId="4"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4" fontId="65" fillId="0" borderId="5"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X9" sqref="X9"/>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92" t="s">
        <v>873</v>
      </c>
      <c r="H2" s="892"/>
    </row>
    <row r="3" spans="1:8" ht="24.75" customHeight="1">
      <c r="G3" s="893" t="s">
        <v>975</v>
      </c>
      <c r="H3" s="893"/>
    </row>
    <row r="4" spans="1:8" ht="13.5" customHeight="1">
      <c r="G4" s="894" t="s">
        <v>874</v>
      </c>
      <c r="H4" s="894"/>
    </row>
    <row r="5" spans="1:8" ht="15.75" customHeight="1">
      <c r="G5" s="895" t="s">
        <v>420</v>
      </c>
      <c r="H5" s="895"/>
    </row>
    <row r="6" spans="1:8" ht="27" customHeight="1">
      <c r="G6" s="894" t="s">
        <v>875</v>
      </c>
      <c r="H6" s="894"/>
    </row>
    <row r="7" spans="1:8" ht="21.75" customHeight="1">
      <c r="G7" s="892" t="s">
        <v>976</v>
      </c>
      <c r="H7" s="892"/>
    </row>
    <row r="8" spans="1:8">
      <c r="G8" s="863" t="s">
        <v>876</v>
      </c>
      <c r="H8" s="864" t="s">
        <v>74</v>
      </c>
    </row>
    <row r="9" spans="1:8">
      <c r="G9" s="896" t="s">
        <v>986</v>
      </c>
      <c r="H9" s="896"/>
    </row>
    <row r="11" spans="1:8" ht="15.75">
      <c r="A11" s="888" t="s">
        <v>977</v>
      </c>
      <c r="B11" s="888"/>
      <c r="C11" s="888"/>
      <c r="D11" s="888"/>
      <c r="E11" s="888"/>
      <c r="F11" s="888"/>
      <c r="G11" s="888"/>
      <c r="H11" s="865"/>
    </row>
    <row r="12" spans="1:8" ht="15.75">
      <c r="A12" s="888" t="s">
        <v>978</v>
      </c>
      <c r="B12" s="888"/>
      <c r="C12" s="888"/>
      <c r="D12" s="888"/>
      <c r="E12" s="888"/>
      <c r="F12" s="888"/>
      <c r="G12" s="888"/>
      <c r="H12" s="897" t="s">
        <v>877</v>
      </c>
    </row>
    <row r="13" spans="1:8" ht="15.75">
      <c r="A13" s="888" t="s">
        <v>985</v>
      </c>
      <c r="B13" s="888"/>
      <c r="C13" s="888"/>
      <c r="D13" s="888"/>
      <c r="E13" s="888"/>
      <c r="F13" s="888"/>
      <c r="G13" s="889"/>
      <c r="H13" s="898"/>
    </row>
    <row r="14" spans="1:8" ht="15.75" thickBot="1">
      <c r="A14" s="866"/>
      <c r="B14" s="866"/>
      <c r="C14" s="866"/>
      <c r="D14" s="866"/>
      <c r="E14" s="866"/>
      <c r="F14" s="866"/>
      <c r="G14" s="866"/>
      <c r="H14" s="899"/>
    </row>
    <row r="15" spans="1:8" ht="15" customHeight="1">
      <c r="A15" s="866"/>
      <c r="B15" s="890"/>
      <c r="C15" s="890"/>
      <c r="D15" s="890"/>
      <c r="E15" s="866"/>
      <c r="F15" s="866"/>
      <c r="G15" s="867" t="s">
        <v>878</v>
      </c>
      <c r="H15" s="868"/>
    </row>
    <row r="16" spans="1:8">
      <c r="A16" s="869" t="s">
        <v>879</v>
      </c>
      <c r="B16" s="866"/>
      <c r="C16" s="866"/>
      <c r="D16" s="866"/>
      <c r="E16" s="866"/>
      <c r="F16" s="866"/>
      <c r="G16" s="867" t="s">
        <v>880</v>
      </c>
      <c r="H16" s="870" t="s">
        <v>881</v>
      </c>
    </row>
    <row r="17" spans="1:8" ht="15" customHeight="1">
      <c r="A17" s="869" t="s">
        <v>0</v>
      </c>
      <c r="B17" s="891" t="s">
        <v>73</v>
      </c>
      <c r="C17" s="891"/>
      <c r="D17" s="891"/>
      <c r="E17" s="891"/>
      <c r="F17" s="866"/>
      <c r="G17" s="867" t="s">
        <v>882</v>
      </c>
      <c r="H17" s="870" t="s">
        <v>883</v>
      </c>
    </row>
    <row r="18" spans="1:8">
      <c r="A18" s="866"/>
      <c r="B18" s="866"/>
      <c r="C18" s="866"/>
      <c r="D18" s="866"/>
      <c r="E18" s="866"/>
      <c r="F18" s="866"/>
      <c r="G18" s="867" t="s">
        <v>880</v>
      </c>
      <c r="H18" s="870" t="s">
        <v>884</v>
      </c>
    </row>
    <row r="19" spans="1:8">
      <c r="A19" s="866"/>
      <c r="B19" s="866"/>
      <c r="C19" s="866"/>
      <c r="D19" s="866"/>
      <c r="E19" s="866"/>
      <c r="F19" s="866"/>
      <c r="G19" s="867" t="s">
        <v>885</v>
      </c>
      <c r="H19" s="870" t="s">
        <v>886</v>
      </c>
    </row>
    <row r="20" spans="1:8" ht="49.5" customHeight="1">
      <c r="A20" s="869" t="s">
        <v>1</v>
      </c>
      <c r="B20" s="891" t="s">
        <v>887</v>
      </c>
      <c r="C20" s="891"/>
      <c r="D20" s="891"/>
      <c r="E20" s="891"/>
      <c r="F20" s="866"/>
      <c r="G20" s="867" t="s">
        <v>888</v>
      </c>
      <c r="H20" s="870" t="s">
        <v>889</v>
      </c>
    </row>
    <row r="21" spans="1:8" ht="15.75" thickBot="1">
      <c r="A21" s="869" t="s">
        <v>890</v>
      </c>
      <c r="B21" s="866"/>
      <c r="C21" s="866"/>
      <c r="D21" s="866"/>
      <c r="E21" s="866"/>
      <c r="F21" s="866"/>
      <c r="G21" s="867" t="s">
        <v>891</v>
      </c>
      <c r="H21" s="871" t="s">
        <v>892</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50" t="s">
        <v>113</v>
      </c>
      <c r="B9" s="1050" t="s">
        <v>168</v>
      </c>
      <c r="C9" s="1032" t="s">
        <v>188</v>
      </c>
      <c r="D9" s="1052"/>
      <c r="E9" s="1052"/>
      <c r="F9" s="1033"/>
      <c r="G9" s="1032" t="s">
        <v>189</v>
      </c>
      <c r="H9" s="1052"/>
      <c r="I9" s="1052"/>
      <c r="J9" s="1033"/>
      <c r="K9" s="1032" t="s">
        <v>190</v>
      </c>
      <c r="L9" s="1052"/>
      <c r="M9" s="1052"/>
      <c r="N9" s="1033"/>
    </row>
    <row r="10" spans="1:16" ht="63.75" hidden="1">
      <c r="A10" s="1051"/>
      <c r="B10" s="1051"/>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38" t="s">
        <v>113</v>
      </c>
      <c r="B19" s="1038" t="s">
        <v>168</v>
      </c>
      <c r="C19" s="1038" t="s">
        <v>513</v>
      </c>
      <c r="D19" s="1038"/>
      <c r="E19" s="1038"/>
      <c r="F19" s="1038"/>
      <c r="G19" s="1038" t="s">
        <v>514</v>
      </c>
      <c r="H19" s="1038"/>
      <c r="I19" s="1038"/>
      <c r="J19" s="1038"/>
      <c r="K19" s="1038" t="s">
        <v>515</v>
      </c>
      <c r="L19" s="1038"/>
      <c r="M19" s="1038"/>
      <c r="N19" s="1038"/>
    </row>
    <row r="20" spans="1:14" ht="85.5" customHeight="1">
      <c r="A20" s="1038"/>
      <c r="B20" s="1038"/>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53"/>
      <c r="B35" s="1053"/>
      <c r="C35" s="1053"/>
      <c r="D35" s="1053"/>
      <c r="E35" s="1053"/>
      <c r="F35" s="1053"/>
      <c r="G35" s="1053"/>
      <c r="H35" s="1053"/>
      <c r="I35" s="1053"/>
      <c r="J35" s="1053"/>
      <c r="K35" s="1053"/>
    </row>
    <row r="36" spans="1:11" ht="51" customHeight="1">
      <c r="A36" s="1053"/>
      <c r="B36" s="1053"/>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67" t="s">
        <v>113</v>
      </c>
      <c r="B6" s="1067" t="s">
        <v>168</v>
      </c>
      <c r="C6" s="1067" t="s">
        <v>457</v>
      </c>
      <c r="D6" s="1067"/>
      <c r="E6" s="1067"/>
      <c r="F6" s="1067"/>
      <c r="G6" s="1067" t="s">
        <v>458</v>
      </c>
      <c r="H6" s="1067"/>
      <c r="I6" s="1067"/>
      <c r="J6" s="1067"/>
      <c r="K6" s="1067" t="s">
        <v>459</v>
      </c>
      <c r="L6" s="1067"/>
      <c r="M6" s="1067"/>
      <c r="N6" s="1067"/>
      <c r="O6" s="457"/>
    </row>
    <row r="7" spans="1:16380" s="383" customFormat="1" ht="65.25" customHeight="1">
      <c r="A7" s="1067"/>
      <c r="B7" s="1067"/>
      <c r="C7" s="614" t="s">
        <v>215</v>
      </c>
      <c r="D7" s="1068" t="s">
        <v>216</v>
      </c>
      <c r="E7" s="1069"/>
      <c r="F7" s="614" t="s">
        <v>217</v>
      </c>
      <c r="G7" s="614" t="s">
        <v>215</v>
      </c>
      <c r="H7" s="1068" t="s">
        <v>216</v>
      </c>
      <c r="I7" s="1069"/>
      <c r="J7" s="614" t="s">
        <v>217</v>
      </c>
      <c r="K7" s="614" t="s">
        <v>215</v>
      </c>
      <c r="L7" s="1068" t="s">
        <v>216</v>
      </c>
      <c r="M7" s="1069"/>
      <c r="N7" s="614" t="s">
        <v>217</v>
      </c>
      <c r="O7" s="457"/>
      <c r="P7" s="383" t="s">
        <v>218</v>
      </c>
    </row>
    <row r="8" spans="1:16380" s="383" customFormat="1" ht="38.25">
      <c r="A8" s="614">
        <v>1</v>
      </c>
      <c r="B8" s="615" t="s">
        <v>469</v>
      </c>
      <c r="C8" s="61" t="s">
        <v>18</v>
      </c>
      <c r="D8" s="1054" t="s">
        <v>18</v>
      </c>
      <c r="E8" s="1055"/>
      <c r="F8" s="61">
        <v>800</v>
      </c>
      <c r="G8" s="61" t="s">
        <v>18</v>
      </c>
      <c r="H8" s="1054" t="s">
        <v>18</v>
      </c>
      <c r="I8" s="1055"/>
      <c r="J8" s="61">
        <v>0</v>
      </c>
      <c r="K8" s="61" t="s">
        <v>18</v>
      </c>
      <c r="L8" s="1054" t="s">
        <v>18</v>
      </c>
      <c r="M8" s="1055"/>
      <c r="N8" s="61">
        <v>0</v>
      </c>
      <c r="O8" s="457"/>
    </row>
    <row r="9" spans="1:16380" s="383" customFormat="1" ht="38.25">
      <c r="A9" s="614">
        <v>2</v>
      </c>
      <c r="B9" s="615" t="s">
        <v>763</v>
      </c>
      <c r="C9" s="61">
        <v>33377286.77</v>
      </c>
      <c r="D9" s="1070">
        <v>1.5E-3</v>
      </c>
      <c r="E9" s="1071"/>
      <c r="F9" s="61">
        <v>50065.93</v>
      </c>
      <c r="G9" s="61">
        <v>24782092.879999999</v>
      </c>
      <c r="H9" s="1070">
        <v>1.5E-3</v>
      </c>
      <c r="I9" s="1071"/>
      <c r="J9" s="61">
        <v>37173.14</v>
      </c>
      <c r="K9" s="61">
        <v>31978747.210000001</v>
      </c>
      <c r="L9" s="1070">
        <v>1.5E-3</v>
      </c>
      <c r="M9" s="1071"/>
      <c r="N9" s="61">
        <v>40682.78</v>
      </c>
      <c r="O9" s="457"/>
    </row>
    <row r="10" spans="1:16380" s="383" customFormat="1">
      <c r="A10" s="614"/>
      <c r="B10" s="614" t="s">
        <v>178</v>
      </c>
      <c r="C10" s="61" t="s">
        <v>18</v>
      </c>
      <c r="D10" s="1054" t="s">
        <v>18</v>
      </c>
      <c r="E10" s="1055"/>
      <c r="F10" s="61">
        <f>SUM(F8:F9)</f>
        <v>50865.93</v>
      </c>
      <c r="G10" s="61" t="s">
        <v>18</v>
      </c>
      <c r="H10" s="1054" t="s">
        <v>18</v>
      </c>
      <c r="I10" s="1055"/>
      <c r="J10" s="61">
        <f>J9</f>
        <v>37173.14</v>
      </c>
      <c r="K10" s="61" t="s">
        <v>18</v>
      </c>
      <c r="L10" s="1054" t="s">
        <v>18</v>
      </c>
      <c r="M10" s="1055"/>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67" t="s">
        <v>113</v>
      </c>
      <c r="B16" s="1067" t="s">
        <v>168</v>
      </c>
      <c r="C16" s="1067" t="s">
        <v>457</v>
      </c>
      <c r="D16" s="1067"/>
      <c r="E16" s="1067"/>
      <c r="F16" s="1067"/>
      <c r="G16" s="1067" t="s">
        <v>458</v>
      </c>
      <c r="H16" s="1067"/>
      <c r="I16" s="1067"/>
      <c r="J16" s="1067"/>
      <c r="K16" s="1067" t="s">
        <v>459</v>
      </c>
      <c r="L16" s="1067"/>
      <c r="M16" s="1067"/>
      <c r="N16" s="1067"/>
      <c r="O16" s="457"/>
    </row>
    <row r="17" spans="1:15" s="383" customFormat="1" ht="63.75">
      <c r="A17" s="1067"/>
      <c r="B17" s="1067"/>
      <c r="C17" s="614" t="s">
        <v>215</v>
      </c>
      <c r="D17" s="1068" t="s">
        <v>216</v>
      </c>
      <c r="E17" s="1069"/>
      <c r="F17" s="614" t="s">
        <v>217</v>
      </c>
      <c r="G17" s="614" t="s">
        <v>215</v>
      </c>
      <c r="H17" s="1068" t="s">
        <v>216</v>
      </c>
      <c r="I17" s="1069"/>
      <c r="J17" s="614" t="s">
        <v>217</v>
      </c>
      <c r="K17" s="614" t="s">
        <v>215</v>
      </c>
      <c r="L17" s="1068" t="s">
        <v>216</v>
      </c>
      <c r="M17" s="1069"/>
      <c r="N17" s="614" t="s">
        <v>217</v>
      </c>
      <c r="O17" s="457"/>
    </row>
    <row r="18" spans="1:15" s="383" customFormat="1" ht="76.5">
      <c r="A18" s="614">
        <v>1</v>
      </c>
      <c r="B18" s="615" t="s">
        <v>766</v>
      </c>
      <c r="C18" s="61" t="s">
        <v>18</v>
      </c>
      <c r="D18" s="1054" t="s">
        <v>18</v>
      </c>
      <c r="E18" s="1055"/>
      <c r="F18" s="61">
        <v>588924.12</v>
      </c>
      <c r="G18" s="61" t="s">
        <v>18</v>
      </c>
      <c r="H18" s="1054" t="s">
        <v>18</v>
      </c>
      <c r="I18" s="1055"/>
      <c r="J18" s="490">
        <v>0</v>
      </c>
      <c r="K18" s="61" t="s">
        <v>18</v>
      </c>
      <c r="L18" s="1054" t="s">
        <v>18</v>
      </c>
      <c r="M18" s="1055"/>
      <c r="N18" s="490">
        <v>0</v>
      </c>
      <c r="O18" s="457"/>
    </row>
    <row r="19" spans="1:15" s="383" customFormat="1" ht="51">
      <c r="A19" s="614">
        <v>2</v>
      </c>
      <c r="B19" s="615" t="s">
        <v>765</v>
      </c>
      <c r="C19" s="61" t="s">
        <v>18</v>
      </c>
      <c r="D19" s="1054" t="s">
        <v>18</v>
      </c>
      <c r="E19" s="1055"/>
      <c r="F19" s="61">
        <v>0</v>
      </c>
      <c r="G19" s="61" t="s">
        <v>18</v>
      </c>
      <c r="H19" s="1054" t="s">
        <v>18</v>
      </c>
      <c r="I19" s="1055"/>
      <c r="J19" s="490">
        <v>0</v>
      </c>
      <c r="K19" s="61" t="s">
        <v>18</v>
      </c>
      <c r="L19" s="1054" t="s">
        <v>18</v>
      </c>
      <c r="M19" s="1055"/>
      <c r="N19" s="490">
        <v>0</v>
      </c>
      <c r="O19" s="457"/>
    </row>
    <row r="20" spans="1:15" s="383" customFormat="1" ht="38.25">
      <c r="A20" s="614">
        <v>3</v>
      </c>
      <c r="B20" s="615" t="s">
        <v>764</v>
      </c>
      <c r="C20" s="61">
        <v>4526126.91</v>
      </c>
      <c r="D20" s="1070">
        <v>1.5E-3</v>
      </c>
      <c r="E20" s="1071"/>
      <c r="F20" s="61">
        <v>6460.4</v>
      </c>
      <c r="G20" s="61">
        <v>4892473.47</v>
      </c>
      <c r="H20" s="1070">
        <v>1.5E-3</v>
      </c>
      <c r="I20" s="1071"/>
      <c r="J20" s="61">
        <v>6460.4</v>
      </c>
      <c r="K20" s="61">
        <v>4856891.72</v>
      </c>
      <c r="L20" s="1070">
        <v>1.5E-3</v>
      </c>
      <c r="M20" s="1071"/>
      <c r="N20" s="61">
        <v>6460.4</v>
      </c>
      <c r="O20" s="457"/>
    </row>
    <row r="21" spans="1:15" s="383" customFormat="1" hidden="1">
      <c r="A21" s="614"/>
      <c r="B21" s="615"/>
      <c r="C21" s="61"/>
      <c r="D21" s="1054"/>
      <c r="E21" s="1055"/>
      <c r="F21" s="61"/>
      <c r="G21" s="61"/>
      <c r="H21" s="1054"/>
      <c r="I21" s="1055"/>
      <c r="J21" s="490"/>
      <c r="K21" s="61"/>
      <c r="L21" s="1054"/>
      <c r="M21" s="1055"/>
      <c r="N21" s="490"/>
      <c r="O21" s="457"/>
    </row>
    <row r="22" spans="1:15" s="383" customFormat="1">
      <c r="A22" s="614"/>
      <c r="B22" s="614" t="s">
        <v>178</v>
      </c>
      <c r="C22" s="61" t="s">
        <v>18</v>
      </c>
      <c r="D22" s="1054" t="s">
        <v>18</v>
      </c>
      <c r="E22" s="1055"/>
      <c r="F22" s="61">
        <f>SUM(F20:F21)</f>
        <v>6460.4</v>
      </c>
      <c r="G22" s="61" t="s">
        <v>18</v>
      </c>
      <c r="H22" s="1054" t="s">
        <v>18</v>
      </c>
      <c r="I22" s="1055"/>
      <c r="J22" s="61">
        <f>SUM(J20:J20)</f>
        <v>6460.4</v>
      </c>
      <c r="K22" s="61" t="s">
        <v>18</v>
      </c>
      <c r="L22" s="1054" t="s">
        <v>18</v>
      </c>
      <c r="M22" s="1055"/>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67" t="s">
        <v>113</v>
      </c>
      <c r="B27" s="1067" t="s">
        <v>168</v>
      </c>
      <c r="C27" s="1067" t="s">
        <v>198</v>
      </c>
      <c r="D27" s="1067"/>
      <c r="E27" s="614"/>
      <c r="F27" s="1067" t="s">
        <v>199</v>
      </c>
      <c r="G27" s="1067"/>
      <c r="H27" s="1067" t="s">
        <v>200</v>
      </c>
      <c r="I27" s="1067"/>
      <c r="J27" s="1067"/>
      <c r="K27" s="457"/>
      <c r="L27" s="457"/>
      <c r="M27" s="457"/>
      <c r="N27" s="457"/>
      <c r="O27" s="457"/>
    </row>
    <row r="28" spans="1:15" ht="25.5" hidden="1" customHeight="1">
      <c r="A28" s="1067"/>
      <c r="B28" s="1067"/>
      <c r="C28" s="1067" t="s">
        <v>223</v>
      </c>
      <c r="D28" s="614" t="s">
        <v>224</v>
      </c>
      <c r="E28" s="614"/>
      <c r="F28" s="1067" t="s">
        <v>223</v>
      </c>
      <c r="G28" s="614" t="s">
        <v>224</v>
      </c>
      <c r="H28" s="1067" t="s">
        <v>223</v>
      </c>
      <c r="I28" s="614"/>
      <c r="J28" s="614" t="s">
        <v>224</v>
      </c>
      <c r="K28" s="457"/>
      <c r="L28" s="457"/>
      <c r="M28" s="457"/>
      <c r="N28" s="457"/>
      <c r="O28" s="457"/>
    </row>
    <row r="29" spans="1:15" hidden="1">
      <c r="A29" s="1067"/>
      <c r="B29" s="1067"/>
      <c r="C29" s="1067"/>
      <c r="D29" s="614" t="s">
        <v>225</v>
      </c>
      <c r="E29" s="614"/>
      <c r="F29" s="1067"/>
      <c r="G29" s="614" t="s">
        <v>225</v>
      </c>
      <c r="H29" s="1067"/>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80" t="s">
        <v>113</v>
      </c>
      <c r="B9" s="1080" t="s">
        <v>168</v>
      </c>
      <c r="C9" s="1080" t="s">
        <v>136</v>
      </c>
      <c r="D9" s="1068" t="s">
        <v>457</v>
      </c>
      <c r="E9" s="1081"/>
      <c r="F9" s="1081"/>
      <c r="G9" s="1069"/>
      <c r="H9" s="1068" t="s">
        <v>458</v>
      </c>
      <c r="I9" s="1081"/>
      <c r="J9" s="1081"/>
      <c r="K9" s="1069"/>
      <c r="L9" s="1068" t="s">
        <v>459</v>
      </c>
      <c r="M9" s="1081"/>
      <c r="N9" s="1081"/>
      <c r="O9" s="1069"/>
    </row>
    <row r="10" spans="1:15" s="383" customFormat="1" ht="15" customHeight="1">
      <c r="A10" s="1117"/>
      <c r="B10" s="1117"/>
      <c r="C10" s="1117"/>
      <c r="D10" s="1080" t="s">
        <v>229</v>
      </c>
      <c r="E10" s="1080" t="s">
        <v>230</v>
      </c>
      <c r="F10" s="1080" t="s">
        <v>231</v>
      </c>
      <c r="G10" s="1080" t="s">
        <v>171</v>
      </c>
      <c r="H10" s="1080" t="s">
        <v>229</v>
      </c>
      <c r="I10" s="1080" t="s">
        <v>230</v>
      </c>
      <c r="J10" s="1080" t="s">
        <v>231</v>
      </c>
      <c r="K10" s="1080" t="s">
        <v>232</v>
      </c>
      <c r="L10" s="1080" t="s">
        <v>229</v>
      </c>
      <c r="M10" s="1080" t="s">
        <v>233</v>
      </c>
      <c r="N10" s="1080" t="s">
        <v>231</v>
      </c>
      <c r="O10" s="1080" t="s">
        <v>232</v>
      </c>
    </row>
    <row r="11" spans="1:15" s="383" customFormat="1" ht="6.75" customHeight="1">
      <c r="A11" s="1117"/>
      <c r="B11" s="1117"/>
      <c r="C11" s="1117"/>
      <c r="D11" s="1117"/>
      <c r="E11" s="1117"/>
      <c r="F11" s="1117"/>
      <c r="G11" s="1117"/>
      <c r="H11" s="1117"/>
      <c r="I11" s="1117"/>
      <c r="J11" s="1117"/>
      <c r="K11" s="1117"/>
      <c r="L11" s="1117"/>
      <c r="M11" s="1117"/>
      <c r="N11" s="1117"/>
      <c r="O11" s="1117"/>
    </row>
    <row r="12" spans="1:15" s="383" customFormat="1" ht="18.75" customHeight="1">
      <c r="A12" s="1116"/>
      <c r="B12" s="1116"/>
      <c r="C12" s="1116"/>
      <c r="D12" s="1116"/>
      <c r="E12" s="1116"/>
      <c r="F12" s="1116"/>
      <c r="G12" s="1116"/>
      <c r="H12" s="1116"/>
      <c r="I12" s="1116"/>
      <c r="J12" s="1116"/>
      <c r="K12" s="1116"/>
      <c r="L12" s="1116"/>
      <c r="M12" s="1116"/>
      <c r="N12" s="1116"/>
      <c r="O12" s="1116"/>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80" t="s">
        <v>239</v>
      </c>
      <c r="C16" s="1118"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116"/>
      <c r="C17" s="1119"/>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80">
        <v>2</v>
      </c>
      <c r="B18" s="1080" t="s">
        <v>241</v>
      </c>
      <c r="C18" s="1118" t="s">
        <v>242</v>
      </c>
      <c r="D18" s="497">
        <v>4</v>
      </c>
      <c r="E18" s="613">
        <v>12</v>
      </c>
      <c r="F18" s="498">
        <f>G18/E18/D18</f>
        <v>151.29999999999998</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116"/>
      <c r="B19" s="1116"/>
      <c r="C19" s="1119"/>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80"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116"/>
      <c r="C21" s="613" t="s">
        <v>244</v>
      </c>
      <c r="D21" s="613">
        <v>1</v>
      </c>
      <c r="E21" s="613">
        <v>12</v>
      </c>
      <c r="F21" s="498">
        <f>G21/E21</f>
        <v>7299.998333333333</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80" t="s">
        <v>113</v>
      </c>
      <c r="B28" s="1080" t="s">
        <v>168</v>
      </c>
      <c r="C28" s="1080" t="s">
        <v>136</v>
      </c>
      <c r="D28" s="1068" t="s">
        <v>457</v>
      </c>
      <c r="E28" s="1081"/>
      <c r="F28" s="1081"/>
      <c r="G28" s="1069"/>
      <c r="H28" s="1068" t="s">
        <v>458</v>
      </c>
      <c r="I28" s="1081"/>
      <c r="J28" s="1081"/>
      <c r="K28" s="1069"/>
      <c r="L28" s="1068" t="s">
        <v>459</v>
      </c>
      <c r="M28" s="1081"/>
      <c r="N28" s="1081"/>
      <c r="O28" s="1069"/>
    </row>
    <row r="29" spans="1:17" ht="15" hidden="1" customHeight="1">
      <c r="A29" s="1117"/>
      <c r="B29" s="1117"/>
      <c r="C29" s="1117"/>
      <c r="D29" s="1080" t="s">
        <v>229</v>
      </c>
      <c r="E29" s="1080" t="s">
        <v>230</v>
      </c>
      <c r="F29" s="1080" t="s">
        <v>231</v>
      </c>
      <c r="G29" s="1080" t="s">
        <v>171</v>
      </c>
      <c r="H29" s="1080" t="s">
        <v>229</v>
      </c>
      <c r="I29" s="1080" t="s">
        <v>230</v>
      </c>
      <c r="J29" s="1080" t="s">
        <v>231</v>
      </c>
      <c r="K29" s="1080" t="s">
        <v>232</v>
      </c>
      <c r="L29" s="1080" t="s">
        <v>229</v>
      </c>
      <c r="M29" s="1080" t="s">
        <v>233</v>
      </c>
      <c r="N29" s="1080" t="s">
        <v>231</v>
      </c>
      <c r="O29" s="1080" t="s">
        <v>232</v>
      </c>
    </row>
    <row r="30" spans="1:17" ht="6.75" hidden="1" customHeight="1">
      <c r="A30" s="1117"/>
      <c r="B30" s="1117"/>
      <c r="C30" s="1117"/>
      <c r="D30" s="1117"/>
      <c r="E30" s="1117"/>
      <c r="F30" s="1117"/>
      <c r="G30" s="1117"/>
      <c r="H30" s="1117"/>
      <c r="I30" s="1117"/>
      <c r="J30" s="1117"/>
      <c r="K30" s="1117"/>
      <c r="L30" s="1117"/>
      <c r="M30" s="1117"/>
      <c r="N30" s="1117"/>
      <c r="O30" s="1117"/>
    </row>
    <row r="31" spans="1:17" hidden="1">
      <c r="A31" s="1116"/>
      <c r="B31" s="1116"/>
      <c r="C31" s="1116"/>
      <c r="D31" s="1116"/>
      <c r="E31" s="1116"/>
      <c r="F31" s="1116"/>
      <c r="G31" s="1116"/>
      <c r="H31" s="1116"/>
      <c r="I31" s="1116"/>
      <c r="J31" s="1116"/>
      <c r="K31" s="1116"/>
      <c r="L31" s="1116"/>
      <c r="M31" s="1116"/>
      <c r="N31" s="1116"/>
      <c r="O31" s="1116"/>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80" t="s">
        <v>239</v>
      </c>
      <c r="C35" s="1118"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116"/>
      <c r="C36" s="1119"/>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80">
        <v>2</v>
      </c>
      <c r="B37" s="1080" t="s">
        <v>241</v>
      </c>
      <c r="C37" s="1118"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116"/>
      <c r="B38" s="1116"/>
      <c r="C38" s="1119"/>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80"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116"/>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67" t="s">
        <v>113</v>
      </c>
      <c r="B7" s="1067" t="s">
        <v>168</v>
      </c>
      <c r="C7" s="1067" t="s">
        <v>457</v>
      </c>
      <c r="D7" s="1067"/>
      <c r="E7" s="1067"/>
      <c r="F7" s="1067"/>
      <c r="G7" s="1067" t="s">
        <v>458</v>
      </c>
      <c r="H7" s="1067"/>
      <c r="I7" s="1067"/>
      <c r="J7" s="1067"/>
      <c r="K7" s="1067" t="s">
        <v>459</v>
      </c>
      <c r="L7" s="1067"/>
      <c r="M7" s="1067"/>
      <c r="N7" s="1067"/>
      <c r="O7" s="501"/>
    </row>
    <row r="8" spans="1:19" s="383" customFormat="1" ht="24.75" customHeight="1">
      <c r="A8" s="1067"/>
      <c r="B8" s="1067"/>
      <c r="C8" s="614" t="s">
        <v>247</v>
      </c>
      <c r="D8" s="1072" t="s">
        <v>248</v>
      </c>
      <c r="E8" s="1073"/>
      <c r="F8" s="616" t="s">
        <v>171</v>
      </c>
      <c r="G8" s="616" t="s">
        <v>247</v>
      </c>
      <c r="H8" s="1068" t="s">
        <v>248</v>
      </c>
      <c r="I8" s="1069"/>
      <c r="J8" s="614" t="s">
        <v>171</v>
      </c>
      <c r="K8" s="614" t="s">
        <v>247</v>
      </c>
      <c r="L8" s="1068" t="s">
        <v>248</v>
      </c>
      <c r="M8" s="1069"/>
      <c r="N8" s="614" t="s">
        <v>171</v>
      </c>
      <c r="O8" s="501"/>
    </row>
    <row r="9" spans="1:19" s="383" customFormat="1" ht="25.5">
      <c r="A9" s="614">
        <v>1</v>
      </c>
      <c r="B9" s="615" t="s">
        <v>767</v>
      </c>
      <c r="C9" s="490">
        <f>F9/D9</f>
        <v>4852.2276135862367</v>
      </c>
      <c r="D9" s="1074">
        <v>22.67</v>
      </c>
      <c r="E9" s="1075"/>
      <c r="F9" s="224">
        <v>110000</v>
      </c>
      <c r="G9" s="502">
        <v>3183</v>
      </c>
      <c r="H9" s="1076">
        <v>22.67</v>
      </c>
      <c r="I9" s="1077"/>
      <c r="J9" s="449">
        <v>72167.86</v>
      </c>
      <c r="K9" s="490">
        <v>3183</v>
      </c>
      <c r="L9" s="1076">
        <v>22.67</v>
      </c>
      <c r="M9" s="1077"/>
      <c r="N9" s="449">
        <v>72167.86</v>
      </c>
      <c r="O9" s="501"/>
    </row>
    <row r="10" spans="1:19" s="383" customFormat="1">
      <c r="A10" s="614">
        <v>2</v>
      </c>
      <c r="B10" s="615" t="s">
        <v>768</v>
      </c>
      <c r="C10" s="490">
        <f>F10/D10</f>
        <v>196.94481964696854</v>
      </c>
      <c r="D10" s="1074">
        <v>651.5</v>
      </c>
      <c r="E10" s="1075"/>
      <c r="F10" s="224">
        <v>128309.55</v>
      </c>
      <c r="G10" s="503">
        <v>171</v>
      </c>
      <c r="H10" s="1078">
        <v>651.5</v>
      </c>
      <c r="I10" s="1079"/>
      <c r="J10" s="449">
        <v>111407.4</v>
      </c>
      <c r="K10" s="504">
        <v>171</v>
      </c>
      <c r="L10" s="1078">
        <v>651.5</v>
      </c>
      <c r="M10" s="1079"/>
      <c r="N10" s="449">
        <v>111407.4</v>
      </c>
      <c r="O10" s="501"/>
    </row>
    <row r="11" spans="1:19" s="652" customFormat="1" ht="14.25">
      <c r="A11" s="645"/>
      <c r="B11" s="648" t="s">
        <v>178</v>
      </c>
      <c r="C11" s="649" t="s">
        <v>18</v>
      </c>
      <c r="D11" s="1122" t="s">
        <v>18</v>
      </c>
      <c r="E11" s="1123"/>
      <c r="F11" s="646">
        <f>F9+F10</f>
        <v>238309.55</v>
      </c>
      <c r="G11" s="650" t="s">
        <v>18</v>
      </c>
      <c r="H11" s="1120" t="s">
        <v>18</v>
      </c>
      <c r="I11" s="1121"/>
      <c r="J11" s="647">
        <f>SUM(J9:J10)</f>
        <v>183575.26</v>
      </c>
      <c r="K11" s="649" t="s">
        <v>18</v>
      </c>
      <c r="L11" s="1120" t="s">
        <v>18</v>
      </c>
      <c r="M11" s="1121"/>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67" t="s">
        <v>113</v>
      </c>
      <c r="B17" s="1067" t="s">
        <v>168</v>
      </c>
      <c r="C17" s="1067" t="s">
        <v>457</v>
      </c>
      <c r="D17" s="1067"/>
      <c r="E17" s="1067"/>
      <c r="F17" s="1067"/>
      <c r="G17" s="1067" t="s">
        <v>458</v>
      </c>
      <c r="H17" s="1067"/>
      <c r="I17" s="1067"/>
      <c r="J17" s="1067"/>
      <c r="K17" s="1067" t="s">
        <v>459</v>
      </c>
      <c r="L17" s="1067"/>
      <c r="M17" s="1067"/>
      <c r="N17" s="1067"/>
      <c r="O17" s="501"/>
    </row>
    <row r="18" spans="1:15" s="383" customFormat="1" ht="27" customHeight="1">
      <c r="A18" s="1067"/>
      <c r="B18" s="1067"/>
      <c r="C18" s="614" t="s">
        <v>247</v>
      </c>
      <c r="D18" s="1068" t="s">
        <v>248</v>
      </c>
      <c r="E18" s="1069"/>
      <c r="F18" s="614" t="s">
        <v>171</v>
      </c>
      <c r="G18" s="614" t="s">
        <v>247</v>
      </c>
      <c r="H18" s="1068" t="s">
        <v>248</v>
      </c>
      <c r="I18" s="1069"/>
      <c r="J18" s="614" t="s">
        <v>171</v>
      </c>
      <c r="K18" s="614" t="s">
        <v>247</v>
      </c>
      <c r="L18" s="1068" t="s">
        <v>248</v>
      </c>
      <c r="M18" s="1069"/>
      <c r="N18" s="614" t="s">
        <v>171</v>
      </c>
      <c r="O18" s="501"/>
    </row>
    <row r="19" spans="1:15" s="383" customFormat="1" ht="25.5">
      <c r="A19" s="614">
        <v>1</v>
      </c>
      <c r="B19" s="615" t="s">
        <v>767</v>
      </c>
      <c r="C19" s="490">
        <v>3892</v>
      </c>
      <c r="D19" s="1076">
        <v>22.67</v>
      </c>
      <c r="E19" s="1077"/>
      <c r="F19" s="61">
        <f>60000+20000</f>
        <v>80000</v>
      </c>
      <c r="G19" s="61">
        <v>3892</v>
      </c>
      <c r="H19" s="1076">
        <v>22.67</v>
      </c>
      <c r="I19" s="1077"/>
      <c r="J19" s="61">
        <v>88205.16</v>
      </c>
      <c r="K19" s="61">
        <v>3892</v>
      </c>
      <c r="L19" s="1076">
        <v>22.67</v>
      </c>
      <c r="M19" s="1077"/>
      <c r="N19" s="61">
        <v>88205.16</v>
      </c>
      <c r="O19" s="501"/>
    </row>
    <row r="20" spans="1:15" s="383" customFormat="1">
      <c r="A20" s="614">
        <v>2</v>
      </c>
      <c r="B20" s="615" t="s">
        <v>768</v>
      </c>
      <c r="C20" s="61">
        <v>209</v>
      </c>
      <c r="D20" s="1076">
        <v>651.5</v>
      </c>
      <c r="E20" s="1077"/>
      <c r="F20" s="61">
        <f>67857.17+18778.3</f>
        <v>86635.47</v>
      </c>
      <c r="G20" s="61">
        <v>209</v>
      </c>
      <c r="H20" s="1076">
        <v>651.5</v>
      </c>
      <c r="I20" s="1077"/>
      <c r="J20" s="61">
        <v>136164.6</v>
      </c>
      <c r="K20" s="61">
        <v>209</v>
      </c>
      <c r="L20" s="1076">
        <v>651.5</v>
      </c>
      <c r="M20" s="1077"/>
      <c r="N20" s="61">
        <v>136164.6</v>
      </c>
      <c r="O20" s="501"/>
    </row>
    <row r="21" spans="1:15" s="652" customFormat="1" ht="14.25">
      <c r="A21" s="645"/>
      <c r="B21" s="648" t="s">
        <v>178</v>
      </c>
      <c r="C21" s="649" t="s">
        <v>18</v>
      </c>
      <c r="D21" s="1120" t="s">
        <v>18</v>
      </c>
      <c r="E21" s="1121"/>
      <c r="F21" s="620">
        <f>SUM(F19:F20)</f>
        <v>166635.47</v>
      </c>
      <c r="G21" s="649" t="s">
        <v>18</v>
      </c>
      <c r="H21" s="1120" t="s">
        <v>18</v>
      </c>
      <c r="I21" s="1121"/>
      <c r="J21" s="620">
        <f>SUM(J19:J20)</f>
        <v>224369.76</v>
      </c>
      <c r="K21" s="649" t="s">
        <v>18</v>
      </c>
      <c r="L21" s="1120" t="s">
        <v>18</v>
      </c>
      <c r="M21" s="1121"/>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67" t="s">
        <v>113</v>
      </c>
      <c r="B2" s="1067" t="s">
        <v>2</v>
      </c>
      <c r="C2" s="1067" t="s">
        <v>198</v>
      </c>
      <c r="D2" s="1067"/>
      <c r="E2" s="1067"/>
      <c r="F2" s="1067"/>
      <c r="G2" s="1067" t="s">
        <v>199</v>
      </c>
      <c r="H2" s="1067"/>
      <c r="I2" s="1067"/>
      <c r="J2" s="1067"/>
      <c r="K2" s="1067" t="s">
        <v>200</v>
      </c>
      <c r="L2" s="1067"/>
      <c r="M2" s="1067"/>
      <c r="N2" s="1067"/>
    </row>
    <row r="3" spans="1:17" ht="38.25" hidden="1">
      <c r="A3" s="1067"/>
      <c r="B3" s="1067"/>
      <c r="C3" s="1067" t="s">
        <v>270</v>
      </c>
      <c r="D3" s="1067" t="s">
        <v>271</v>
      </c>
      <c r="E3" s="610" t="s">
        <v>272</v>
      </c>
      <c r="F3" s="1067" t="s">
        <v>273</v>
      </c>
      <c r="G3" s="1067" t="s">
        <v>270</v>
      </c>
      <c r="H3" s="1067" t="s">
        <v>271</v>
      </c>
      <c r="I3" s="610" t="s">
        <v>272</v>
      </c>
      <c r="J3" s="1067" t="s">
        <v>273</v>
      </c>
      <c r="K3" s="1067" t="s">
        <v>270</v>
      </c>
      <c r="L3" s="1067" t="s">
        <v>271</v>
      </c>
      <c r="M3" s="610" t="s">
        <v>274</v>
      </c>
      <c r="N3" s="1067" t="s">
        <v>273</v>
      </c>
    </row>
    <row r="4" spans="1:17" ht="25.5" hidden="1">
      <c r="A4" s="1067"/>
      <c r="B4" s="1067"/>
      <c r="C4" s="1067"/>
      <c r="D4" s="1067"/>
      <c r="E4" s="610" t="s">
        <v>275</v>
      </c>
      <c r="F4" s="1067"/>
      <c r="G4" s="1067"/>
      <c r="H4" s="1067"/>
      <c r="I4" s="610" t="s">
        <v>275</v>
      </c>
      <c r="J4" s="1067"/>
      <c r="K4" s="1067"/>
      <c r="L4" s="1067"/>
      <c r="M4" s="610" t="s">
        <v>275</v>
      </c>
      <c r="N4" s="1067"/>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67" t="s">
        <v>113</v>
      </c>
      <c r="B14" s="1067" t="s">
        <v>2</v>
      </c>
      <c r="C14" s="1067" t="s">
        <v>137</v>
      </c>
      <c r="D14" s="1067"/>
      <c r="E14" s="1067"/>
      <c r="F14" s="1067"/>
      <c r="G14" s="1067" t="s">
        <v>138</v>
      </c>
      <c r="H14" s="1067"/>
      <c r="I14" s="1067"/>
      <c r="J14" s="1067"/>
      <c r="K14" s="1067" t="s">
        <v>139</v>
      </c>
      <c r="L14" s="1067"/>
      <c r="M14" s="1067"/>
      <c r="N14" s="1067"/>
    </row>
    <row r="15" spans="1:17" ht="25.5" hidden="1">
      <c r="A15" s="1067"/>
      <c r="B15" s="1067"/>
      <c r="C15" s="1067" t="s">
        <v>280</v>
      </c>
      <c r="D15" s="1067" t="s">
        <v>281</v>
      </c>
      <c r="E15" s="1067" t="s">
        <v>282</v>
      </c>
      <c r="F15" s="1067" t="s">
        <v>171</v>
      </c>
      <c r="G15" s="1067" t="s">
        <v>280</v>
      </c>
      <c r="H15" s="610" t="s">
        <v>283</v>
      </c>
      <c r="I15" s="1067" t="s">
        <v>282</v>
      </c>
      <c r="J15" s="1067" t="s">
        <v>171</v>
      </c>
      <c r="K15" s="1067" t="s">
        <v>280</v>
      </c>
      <c r="L15" s="610" t="s">
        <v>283</v>
      </c>
      <c r="M15" s="1067" t="s">
        <v>282</v>
      </c>
      <c r="N15" s="1067" t="s">
        <v>171</v>
      </c>
    </row>
    <row r="16" spans="1:17" ht="25.5" hidden="1">
      <c r="A16" s="1067"/>
      <c r="B16" s="1067"/>
      <c r="C16" s="1067"/>
      <c r="D16" s="1067"/>
      <c r="E16" s="1067"/>
      <c r="F16" s="1067"/>
      <c r="G16" s="1067"/>
      <c r="H16" s="610" t="s">
        <v>284</v>
      </c>
      <c r="I16" s="1067"/>
      <c r="J16" s="1067"/>
      <c r="K16" s="1067"/>
      <c r="L16" s="610" t="s">
        <v>284</v>
      </c>
      <c r="M16" s="1067"/>
      <c r="N16" s="1067"/>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67" t="s">
        <v>113</v>
      </c>
      <c r="B27" s="1067" t="s">
        <v>2</v>
      </c>
      <c r="C27" s="1067" t="s">
        <v>289</v>
      </c>
      <c r="D27" s="1067" t="s">
        <v>457</v>
      </c>
      <c r="E27" s="1067"/>
      <c r="F27" s="1067"/>
      <c r="G27" s="1067"/>
      <c r="H27" s="1067" t="s">
        <v>458</v>
      </c>
      <c r="I27" s="1067"/>
      <c r="J27" s="1067"/>
      <c r="K27" s="1067"/>
      <c r="L27" s="1067" t="s">
        <v>459</v>
      </c>
      <c r="M27" s="1067"/>
      <c r="N27" s="1067"/>
      <c r="O27" s="1067"/>
    </row>
    <row r="28" spans="1:17" ht="28.5" customHeight="1">
      <c r="A28" s="1067"/>
      <c r="B28" s="1067"/>
      <c r="C28" s="1067"/>
      <c r="D28" s="610" t="s">
        <v>290</v>
      </c>
      <c r="E28" s="610" t="s">
        <v>291</v>
      </c>
      <c r="F28" s="1067" t="s">
        <v>292</v>
      </c>
      <c r="G28" s="610" t="s">
        <v>224</v>
      </c>
      <c r="H28" s="1067" t="s">
        <v>293</v>
      </c>
      <c r="I28" s="610" t="s">
        <v>294</v>
      </c>
      <c r="J28" s="1067" t="s">
        <v>292</v>
      </c>
      <c r="K28" s="610" t="s">
        <v>224</v>
      </c>
      <c r="L28" s="1067" t="s">
        <v>293</v>
      </c>
      <c r="M28" s="610" t="s">
        <v>294</v>
      </c>
      <c r="N28" s="1067" t="s">
        <v>292</v>
      </c>
      <c r="O28" s="610" t="s">
        <v>224</v>
      </c>
    </row>
    <row r="29" spans="1:17" ht="20.25" customHeight="1">
      <c r="A29" s="1067"/>
      <c r="B29" s="1067"/>
      <c r="C29" s="1067"/>
      <c r="D29" s="610" t="s">
        <v>295</v>
      </c>
      <c r="E29" s="610" t="s">
        <v>296</v>
      </c>
      <c r="F29" s="1067"/>
      <c r="G29" s="610" t="s">
        <v>225</v>
      </c>
      <c r="H29" s="1067"/>
      <c r="I29" s="610" t="s">
        <v>297</v>
      </c>
      <c r="J29" s="1067"/>
      <c r="K29" s="610" t="s">
        <v>225</v>
      </c>
      <c r="L29" s="1067"/>
      <c r="M29" s="610" t="s">
        <v>297</v>
      </c>
      <c r="N29" s="1067"/>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67" t="s">
        <v>113</v>
      </c>
      <c r="B41" s="1067" t="s">
        <v>2</v>
      </c>
      <c r="C41" s="1067" t="s">
        <v>289</v>
      </c>
      <c r="D41" s="1067" t="s">
        <v>457</v>
      </c>
      <c r="E41" s="1067"/>
      <c r="F41" s="1067"/>
      <c r="G41" s="1067"/>
      <c r="H41" s="1067" t="s">
        <v>458</v>
      </c>
      <c r="I41" s="1067"/>
      <c r="J41" s="1067"/>
      <c r="K41" s="1067"/>
      <c r="L41" s="1067" t="s">
        <v>459</v>
      </c>
      <c r="M41" s="1067"/>
      <c r="N41" s="1067"/>
      <c r="O41" s="1067"/>
    </row>
    <row r="42" spans="1:17" ht="25.5">
      <c r="A42" s="1067"/>
      <c r="B42" s="1067"/>
      <c r="C42" s="1067"/>
      <c r="D42" s="610" t="s">
        <v>290</v>
      </c>
      <c r="E42" s="610" t="s">
        <v>291</v>
      </c>
      <c r="F42" s="1067" t="s">
        <v>292</v>
      </c>
      <c r="G42" s="610" t="s">
        <v>224</v>
      </c>
      <c r="H42" s="1067" t="s">
        <v>293</v>
      </c>
      <c r="I42" s="610" t="s">
        <v>294</v>
      </c>
      <c r="J42" s="1067" t="s">
        <v>292</v>
      </c>
      <c r="K42" s="610" t="s">
        <v>224</v>
      </c>
      <c r="L42" s="1067" t="s">
        <v>293</v>
      </c>
      <c r="M42" s="610" t="s">
        <v>294</v>
      </c>
      <c r="N42" s="1067" t="s">
        <v>292</v>
      </c>
      <c r="O42" s="610" t="s">
        <v>224</v>
      </c>
    </row>
    <row r="43" spans="1:17">
      <c r="A43" s="1067"/>
      <c r="B43" s="1067"/>
      <c r="C43" s="1067"/>
      <c r="D43" s="610" t="s">
        <v>295</v>
      </c>
      <c r="E43" s="610" t="s">
        <v>296</v>
      </c>
      <c r="F43" s="1067"/>
      <c r="G43" s="610" t="s">
        <v>225</v>
      </c>
      <c r="H43" s="1067"/>
      <c r="I43" s="610" t="s">
        <v>297</v>
      </c>
      <c r="J43" s="1067"/>
      <c r="K43" s="610" t="s">
        <v>225</v>
      </c>
      <c r="L43" s="1067"/>
      <c r="M43" s="610" t="s">
        <v>297</v>
      </c>
      <c r="N43" s="1067"/>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67" t="s">
        <v>113</v>
      </c>
      <c r="B53" s="1067" t="s">
        <v>2</v>
      </c>
      <c r="C53" s="1067" t="s">
        <v>289</v>
      </c>
      <c r="D53" s="1067" t="s">
        <v>457</v>
      </c>
      <c r="E53" s="1067"/>
      <c r="F53" s="1067"/>
      <c r="G53" s="1067"/>
      <c r="H53" s="1067" t="s">
        <v>458</v>
      </c>
      <c r="I53" s="1067"/>
      <c r="J53" s="1067"/>
      <c r="K53" s="1067"/>
      <c r="L53" s="1067" t="s">
        <v>459</v>
      </c>
      <c r="M53" s="1067"/>
      <c r="N53" s="1067"/>
      <c r="O53" s="1067"/>
    </row>
    <row r="54" spans="1:15" ht="25.5">
      <c r="A54" s="1067"/>
      <c r="B54" s="1067"/>
      <c r="C54" s="1067"/>
      <c r="D54" s="610" t="s">
        <v>290</v>
      </c>
      <c r="E54" s="610" t="s">
        <v>291</v>
      </c>
      <c r="F54" s="1067" t="s">
        <v>292</v>
      </c>
      <c r="G54" s="610" t="s">
        <v>224</v>
      </c>
      <c r="H54" s="1067" t="s">
        <v>293</v>
      </c>
      <c r="I54" s="610" t="s">
        <v>294</v>
      </c>
      <c r="J54" s="1067" t="s">
        <v>292</v>
      </c>
      <c r="K54" s="610" t="s">
        <v>224</v>
      </c>
      <c r="L54" s="1067" t="s">
        <v>293</v>
      </c>
      <c r="M54" s="610" t="s">
        <v>294</v>
      </c>
      <c r="N54" s="1067" t="s">
        <v>292</v>
      </c>
      <c r="O54" s="610" t="s">
        <v>224</v>
      </c>
    </row>
    <row r="55" spans="1:15">
      <c r="A55" s="1067"/>
      <c r="B55" s="1067"/>
      <c r="C55" s="1067"/>
      <c r="D55" s="610" t="s">
        <v>295</v>
      </c>
      <c r="E55" s="610" t="s">
        <v>296</v>
      </c>
      <c r="F55" s="1067"/>
      <c r="G55" s="610" t="s">
        <v>225</v>
      </c>
      <c r="H55" s="1067"/>
      <c r="I55" s="610" t="s">
        <v>297</v>
      </c>
      <c r="J55" s="1067"/>
      <c r="K55" s="610" t="s">
        <v>225</v>
      </c>
      <c r="L55" s="1067"/>
      <c r="M55" s="610" t="s">
        <v>297</v>
      </c>
      <c r="N55" s="1067"/>
      <c r="O55" s="610" t="s">
        <v>225</v>
      </c>
    </row>
    <row r="56" spans="1:15" ht="25.5">
      <c r="A56" s="610">
        <v>1</v>
      </c>
      <c r="B56" s="611" t="s">
        <v>298</v>
      </c>
      <c r="C56" s="610">
        <v>925.05</v>
      </c>
      <c r="D56" s="450">
        <v>1.61</v>
      </c>
      <c r="E56" s="490">
        <f>G56/F56/D56/C56</f>
        <v>23.14688042714495</v>
      </c>
      <c r="F56" s="499">
        <v>12</v>
      </c>
      <c r="G56" s="621">
        <v>413680.26</v>
      </c>
      <c r="H56" s="450">
        <v>1.61</v>
      </c>
      <c r="I56" s="490">
        <f>K56/J56/H56/C56</f>
        <v>17.213432478553283</v>
      </c>
      <c r="J56" s="499">
        <v>12</v>
      </c>
      <c r="K56" s="621">
        <v>307637.88</v>
      </c>
      <c r="L56" s="450">
        <v>1.61</v>
      </c>
      <c r="M56" s="490">
        <f>O56/N56/L56/C56</f>
        <v>17.30564281512174</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67" t="s">
        <v>113</v>
      </c>
      <c r="B67" s="1067" t="s">
        <v>2</v>
      </c>
      <c r="C67" s="1067" t="s">
        <v>289</v>
      </c>
      <c r="D67" s="1067" t="s">
        <v>457</v>
      </c>
      <c r="E67" s="1067"/>
      <c r="F67" s="1067"/>
      <c r="G67" s="1067"/>
      <c r="H67" s="1067" t="s">
        <v>458</v>
      </c>
      <c r="I67" s="1067"/>
      <c r="J67" s="1067"/>
      <c r="K67" s="1067"/>
      <c r="L67" s="1067" t="s">
        <v>459</v>
      </c>
      <c r="M67" s="1067"/>
      <c r="N67" s="1067"/>
      <c r="O67" s="1067"/>
    </row>
    <row r="68" spans="1:15" ht="25.5">
      <c r="A68" s="1067"/>
      <c r="B68" s="1067"/>
      <c r="C68" s="1067"/>
      <c r="D68" s="610" t="s">
        <v>290</v>
      </c>
      <c r="E68" s="610" t="s">
        <v>291</v>
      </c>
      <c r="F68" s="1067" t="s">
        <v>292</v>
      </c>
      <c r="G68" s="610" t="s">
        <v>224</v>
      </c>
      <c r="H68" s="1067" t="s">
        <v>293</v>
      </c>
      <c r="I68" s="610" t="s">
        <v>294</v>
      </c>
      <c r="J68" s="1067" t="s">
        <v>292</v>
      </c>
      <c r="K68" s="610" t="s">
        <v>224</v>
      </c>
      <c r="L68" s="1067" t="s">
        <v>293</v>
      </c>
      <c r="M68" s="610" t="s">
        <v>294</v>
      </c>
      <c r="N68" s="1067" t="s">
        <v>292</v>
      </c>
      <c r="O68" s="610" t="s">
        <v>224</v>
      </c>
    </row>
    <row r="69" spans="1:15">
      <c r="A69" s="1067"/>
      <c r="B69" s="1067"/>
      <c r="C69" s="1067"/>
      <c r="D69" s="610" t="s">
        <v>295</v>
      </c>
      <c r="E69" s="610" t="s">
        <v>296</v>
      </c>
      <c r="F69" s="1067"/>
      <c r="G69" s="610" t="s">
        <v>225</v>
      </c>
      <c r="H69" s="1067"/>
      <c r="I69" s="610" t="s">
        <v>297</v>
      </c>
      <c r="J69" s="1067"/>
      <c r="K69" s="610" t="s">
        <v>225</v>
      </c>
      <c r="L69" s="1067"/>
      <c r="M69" s="610" t="s">
        <v>297</v>
      </c>
      <c r="N69" s="1067"/>
      <c r="O69" s="610" t="s">
        <v>225</v>
      </c>
    </row>
    <row r="70" spans="1:15" ht="25.5">
      <c r="A70" s="610">
        <v>1</v>
      </c>
      <c r="B70" s="611" t="s">
        <v>298</v>
      </c>
      <c r="C70" s="453">
        <v>925.05</v>
      </c>
      <c r="D70" s="450">
        <v>1.61</v>
      </c>
      <c r="E70" s="490">
        <f>G70/F70/D70/C70</f>
        <v>3.0278011943397831</v>
      </c>
      <c r="F70" s="499">
        <v>12</v>
      </c>
      <c r="G70" s="621">
        <v>54112.76</v>
      </c>
      <c r="H70" s="450">
        <v>1.61</v>
      </c>
      <c r="I70" s="490">
        <f>K70/J70/H70/C70</f>
        <v>6.5205618676758892</v>
      </c>
      <c r="J70" s="499">
        <v>12</v>
      </c>
      <c r="K70" s="621">
        <f>281282.73-164747.47</f>
        <v>116535.25999999998</v>
      </c>
      <c r="L70" s="450">
        <v>1.61</v>
      </c>
      <c r="M70" s="490">
        <f>O70/N70/L70/C70</f>
        <v>6.5520088836337305</v>
      </c>
      <c r="N70" s="499">
        <v>12</v>
      </c>
      <c r="O70" s="621">
        <f>281282.73-164185.45</f>
        <v>117097.27999999997</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116535.25999999998</v>
      </c>
      <c r="L73" s="610" t="s">
        <v>18</v>
      </c>
      <c r="M73" s="610" t="s">
        <v>18</v>
      </c>
      <c r="N73" s="610" t="s">
        <v>18</v>
      </c>
      <c r="O73" s="621">
        <f>SUM(O70:O72)</f>
        <v>117097.27999999997</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80" t="s">
        <v>113</v>
      </c>
      <c r="B81" s="1080" t="s">
        <v>2</v>
      </c>
      <c r="C81" s="1080" t="s">
        <v>306</v>
      </c>
      <c r="D81" s="1068" t="s">
        <v>457</v>
      </c>
      <c r="E81" s="1081"/>
      <c r="F81" s="1081"/>
      <c r="G81" s="1069"/>
      <c r="H81" s="1068" t="s">
        <v>458</v>
      </c>
      <c r="I81" s="1081"/>
      <c r="J81" s="1081"/>
      <c r="K81" s="1069"/>
      <c r="L81" s="1068" t="s">
        <v>459</v>
      </c>
      <c r="M81" s="1081"/>
      <c r="N81" s="1081"/>
      <c r="O81" s="1069"/>
    </row>
    <row r="82" spans="1:17">
      <c r="A82" s="1117"/>
      <c r="B82" s="1117"/>
      <c r="C82" s="1117"/>
      <c r="D82" s="1080" t="s">
        <v>307</v>
      </c>
      <c r="E82" s="1080" t="s">
        <v>308</v>
      </c>
      <c r="F82" s="1080" t="s">
        <v>309</v>
      </c>
      <c r="G82" s="610" t="s">
        <v>224</v>
      </c>
      <c r="H82" s="1080" t="s">
        <v>307</v>
      </c>
      <c r="I82" s="1080" t="s">
        <v>308</v>
      </c>
      <c r="J82" s="1080" t="s">
        <v>309</v>
      </c>
      <c r="K82" s="610" t="s">
        <v>224</v>
      </c>
      <c r="L82" s="1080" t="s">
        <v>307</v>
      </c>
      <c r="M82" s="1080" t="s">
        <v>308</v>
      </c>
      <c r="N82" s="1080" t="s">
        <v>309</v>
      </c>
      <c r="O82" s="610" t="s">
        <v>224</v>
      </c>
    </row>
    <row r="83" spans="1:17" ht="42.75" customHeight="1">
      <c r="A83" s="1116"/>
      <c r="B83" s="1116"/>
      <c r="C83" s="1116"/>
      <c r="D83" s="1116"/>
      <c r="E83" s="1116"/>
      <c r="F83" s="1116"/>
      <c r="G83" s="610" t="s">
        <v>225</v>
      </c>
      <c r="H83" s="1116"/>
      <c r="I83" s="1116"/>
      <c r="J83" s="1116"/>
      <c r="K83" s="610" t="s">
        <v>225</v>
      </c>
      <c r="L83" s="1116"/>
      <c r="M83" s="1116"/>
      <c r="N83" s="1116"/>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1205.8700000000001</v>
      </c>
      <c r="G86" s="229">
        <v>14470.44</v>
      </c>
      <c r="H86" s="612">
        <v>1</v>
      </c>
      <c r="I86" s="612">
        <v>12</v>
      </c>
      <c r="J86" s="519">
        <f>K86/H86/I86</f>
        <v>1205.8700000000001</v>
      </c>
      <c r="K86" s="229">
        <v>14470.44</v>
      </c>
      <c r="L86" s="612">
        <v>1</v>
      </c>
      <c r="M86" s="612">
        <v>12</v>
      </c>
      <c r="N86" s="519">
        <f>O86/L86/M86</f>
        <v>1205.8700000000001</v>
      </c>
      <c r="O86" s="229">
        <v>14470.44</v>
      </c>
    </row>
    <row r="87" spans="1:17" ht="76.5">
      <c r="A87" s="612">
        <v>2</v>
      </c>
      <c r="B87" s="227" t="s">
        <v>316</v>
      </c>
      <c r="C87" s="612" t="s">
        <v>314</v>
      </c>
      <c r="D87" s="612">
        <v>4</v>
      </c>
      <c r="E87" s="612">
        <v>12</v>
      </c>
      <c r="F87" s="451">
        <f>G87/D87/E87</f>
        <v>364.58333333333331</v>
      </c>
      <c r="G87" s="229">
        <v>17500</v>
      </c>
      <c r="H87" s="612">
        <v>4</v>
      </c>
      <c r="I87" s="612">
        <v>12</v>
      </c>
      <c r="J87" s="519">
        <f>K87/H87/I87</f>
        <v>524.99750000000006</v>
      </c>
      <c r="K87" s="229">
        <v>25199.88</v>
      </c>
      <c r="L87" s="612">
        <v>4</v>
      </c>
      <c r="M87" s="612">
        <v>12</v>
      </c>
      <c r="N87" s="519">
        <f>O87/L87/M87</f>
        <v>524.99750000000006</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67" t="s">
        <v>113</v>
      </c>
      <c r="B97" s="1067" t="s">
        <v>2</v>
      </c>
      <c r="C97" s="1067" t="s">
        <v>306</v>
      </c>
      <c r="D97" s="1067" t="s">
        <v>457</v>
      </c>
      <c r="E97" s="1067"/>
      <c r="F97" s="1067"/>
      <c r="G97" s="1067"/>
      <c r="H97" s="1067" t="s">
        <v>458</v>
      </c>
      <c r="I97" s="1067"/>
      <c r="J97" s="1067"/>
      <c r="K97" s="1067"/>
      <c r="L97" s="1067" t="s">
        <v>459</v>
      </c>
      <c r="M97" s="1067"/>
      <c r="N97" s="1067"/>
      <c r="O97" s="1067"/>
    </row>
    <row r="98" spans="1:15">
      <c r="A98" s="1067"/>
      <c r="B98" s="1067"/>
      <c r="C98" s="1067"/>
      <c r="D98" s="1067" t="s">
        <v>307</v>
      </c>
      <c r="E98" s="1067" t="s">
        <v>308</v>
      </c>
      <c r="F98" s="1067" t="s">
        <v>309</v>
      </c>
      <c r="G98" s="610" t="s">
        <v>224</v>
      </c>
      <c r="H98" s="1067" t="s">
        <v>307</v>
      </c>
      <c r="I98" s="1067" t="s">
        <v>308</v>
      </c>
      <c r="J98" s="1067" t="s">
        <v>309</v>
      </c>
      <c r="K98" s="610" t="s">
        <v>224</v>
      </c>
      <c r="L98" s="1067" t="s">
        <v>307</v>
      </c>
      <c r="M98" s="1067" t="s">
        <v>308</v>
      </c>
      <c r="N98" s="1067" t="s">
        <v>309</v>
      </c>
      <c r="O98" s="610" t="s">
        <v>224</v>
      </c>
    </row>
    <row r="99" spans="1:15">
      <c r="A99" s="1067"/>
      <c r="B99" s="1067"/>
      <c r="C99" s="1067"/>
      <c r="D99" s="1067"/>
      <c r="E99" s="1067"/>
      <c r="F99" s="1067"/>
      <c r="G99" s="610" t="s">
        <v>225</v>
      </c>
      <c r="H99" s="1067"/>
      <c r="I99" s="1067"/>
      <c r="J99" s="1067"/>
      <c r="K99" s="610" t="s">
        <v>225</v>
      </c>
      <c r="L99" s="1067"/>
      <c r="M99" s="1067"/>
      <c r="N99" s="1067"/>
      <c r="O99" s="610" t="s">
        <v>225</v>
      </c>
    </row>
    <row r="100" spans="1:15">
      <c r="A100" s="610">
        <v>1</v>
      </c>
      <c r="B100" s="611" t="s">
        <v>320</v>
      </c>
      <c r="C100" s="610" t="s">
        <v>314</v>
      </c>
      <c r="D100" s="610">
        <v>2</v>
      </c>
      <c r="E100" s="610">
        <v>12</v>
      </c>
      <c r="F100" s="621">
        <f>G100/D100/E100</f>
        <v>2313.3333333333335</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80" t="s">
        <v>113</v>
      </c>
      <c r="B109" s="1080" t="s">
        <v>2</v>
      </c>
      <c r="C109" s="1080" t="s">
        <v>306</v>
      </c>
      <c r="D109" s="1068" t="s">
        <v>457</v>
      </c>
      <c r="E109" s="1081"/>
      <c r="F109" s="1081"/>
      <c r="G109" s="1069"/>
      <c r="H109" s="1068" t="s">
        <v>458</v>
      </c>
      <c r="I109" s="1081"/>
      <c r="J109" s="1081"/>
      <c r="K109" s="1069"/>
      <c r="L109" s="1068" t="s">
        <v>459</v>
      </c>
      <c r="M109" s="1081"/>
      <c r="N109" s="1081"/>
      <c r="O109" s="1069"/>
    </row>
    <row r="110" spans="1:15">
      <c r="A110" s="1117"/>
      <c r="B110" s="1117"/>
      <c r="C110" s="1117"/>
      <c r="D110" s="1080" t="s">
        <v>307</v>
      </c>
      <c r="E110" s="1080" t="s">
        <v>308</v>
      </c>
      <c r="F110" s="1080" t="s">
        <v>309</v>
      </c>
      <c r="G110" s="610" t="s">
        <v>224</v>
      </c>
      <c r="H110" s="1080" t="s">
        <v>307</v>
      </c>
      <c r="I110" s="1080" t="s">
        <v>308</v>
      </c>
      <c r="J110" s="1080" t="s">
        <v>309</v>
      </c>
      <c r="K110" s="610" t="s">
        <v>224</v>
      </c>
      <c r="L110" s="1080" t="s">
        <v>307</v>
      </c>
      <c r="M110" s="1080" t="s">
        <v>308</v>
      </c>
      <c r="N110" s="1080" t="s">
        <v>309</v>
      </c>
      <c r="O110" s="610" t="s">
        <v>224</v>
      </c>
    </row>
    <row r="111" spans="1:15">
      <c r="A111" s="1116"/>
      <c r="B111" s="1116"/>
      <c r="C111" s="1116"/>
      <c r="D111" s="1116"/>
      <c r="E111" s="1116"/>
      <c r="F111" s="1116"/>
      <c r="G111" s="610" t="s">
        <v>225</v>
      </c>
      <c r="H111" s="1116"/>
      <c r="I111" s="1116"/>
      <c r="J111" s="1116"/>
      <c r="K111" s="610" t="s">
        <v>225</v>
      </c>
      <c r="L111" s="1116"/>
      <c r="M111" s="1116"/>
      <c r="N111" s="1116"/>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67" t="s">
        <v>113</v>
      </c>
      <c r="B121" s="1067" t="s">
        <v>2</v>
      </c>
      <c r="C121" s="1067" t="s">
        <v>306</v>
      </c>
      <c r="D121" s="1067" t="s">
        <v>457</v>
      </c>
      <c r="E121" s="1067"/>
      <c r="F121" s="1067"/>
      <c r="G121" s="1067"/>
      <c r="H121" s="1067" t="s">
        <v>458</v>
      </c>
      <c r="I121" s="1067"/>
      <c r="J121" s="1067"/>
      <c r="K121" s="1067"/>
      <c r="L121" s="1067" t="s">
        <v>459</v>
      </c>
      <c r="M121" s="1067"/>
      <c r="N121" s="1067"/>
      <c r="O121" s="1067"/>
    </row>
    <row r="122" spans="1:15">
      <c r="A122" s="1067"/>
      <c r="B122" s="1067"/>
      <c r="C122" s="1067"/>
      <c r="D122" s="1067" t="s">
        <v>307</v>
      </c>
      <c r="E122" s="1067" t="s">
        <v>308</v>
      </c>
      <c r="F122" s="1067" t="s">
        <v>309</v>
      </c>
      <c r="G122" s="610" t="s">
        <v>224</v>
      </c>
      <c r="H122" s="1067" t="s">
        <v>307</v>
      </c>
      <c r="I122" s="1067" t="s">
        <v>308</v>
      </c>
      <c r="J122" s="1067" t="s">
        <v>309</v>
      </c>
      <c r="K122" s="610" t="s">
        <v>224</v>
      </c>
      <c r="L122" s="1067" t="s">
        <v>307</v>
      </c>
      <c r="M122" s="1067" t="s">
        <v>308</v>
      </c>
      <c r="N122" s="1067" t="s">
        <v>309</v>
      </c>
      <c r="O122" s="610" t="s">
        <v>224</v>
      </c>
    </row>
    <row r="123" spans="1:15">
      <c r="A123" s="1067"/>
      <c r="B123" s="1067"/>
      <c r="C123" s="1067"/>
      <c r="D123" s="1067"/>
      <c r="E123" s="1067"/>
      <c r="F123" s="1067"/>
      <c r="G123" s="610" t="s">
        <v>225</v>
      </c>
      <c r="H123" s="1067"/>
      <c r="I123" s="1067"/>
      <c r="J123" s="1067"/>
      <c r="K123" s="610" t="s">
        <v>225</v>
      </c>
      <c r="L123" s="1067"/>
      <c r="M123" s="1067"/>
      <c r="N123" s="1067"/>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124">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124"/>
      <c r="B132" s="617" t="s">
        <v>753</v>
      </c>
      <c r="C132" s="617">
        <v>225</v>
      </c>
      <c r="D132" s="626">
        <f>G73</f>
        <v>54112.76</v>
      </c>
      <c r="E132" s="626">
        <f>K73</f>
        <v>116535.25999999998</v>
      </c>
      <c r="F132" s="626">
        <f>O73</f>
        <v>117097.27999999997</v>
      </c>
      <c r="G132" s="617" t="s">
        <v>777</v>
      </c>
    </row>
    <row r="133" spans="1:15">
      <c r="A133" s="1124"/>
      <c r="B133" s="617" t="s">
        <v>754</v>
      </c>
      <c r="C133" s="617">
        <v>225</v>
      </c>
      <c r="D133" s="626">
        <f>G125</f>
        <v>4480</v>
      </c>
      <c r="E133" s="626">
        <f>K125</f>
        <v>0</v>
      </c>
      <c r="F133" s="626">
        <f>O125</f>
        <v>0</v>
      </c>
      <c r="G133" s="617" t="s">
        <v>778</v>
      </c>
    </row>
    <row r="134" spans="1:15">
      <c r="A134" s="630"/>
      <c r="D134" s="628">
        <f>D131+D132+D133</f>
        <v>114112.76000000001</v>
      </c>
      <c r="E134" s="628">
        <f t="shared" ref="E134:F134" si="1">E131+E132+E133</f>
        <v>116535.25999999998</v>
      </c>
      <c r="F134" s="628">
        <f t="shared" si="1"/>
        <v>117097.27999999997</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124">
        <v>4</v>
      </c>
      <c r="B139" s="617" t="s">
        <v>752</v>
      </c>
      <c r="C139" s="617">
        <v>225</v>
      </c>
      <c r="D139" s="628">
        <f>G35+G91</f>
        <v>67970.44</v>
      </c>
      <c r="E139" s="628">
        <f>K35+K91</f>
        <v>89170.32</v>
      </c>
      <c r="F139" s="628">
        <f>O35+O91</f>
        <v>89170.32</v>
      </c>
    </row>
    <row r="140" spans="1:15">
      <c r="A140" s="1124"/>
      <c r="B140" s="617" t="s">
        <v>753</v>
      </c>
      <c r="C140" s="617">
        <v>225</v>
      </c>
      <c r="D140" s="628">
        <f>G61</f>
        <v>413680.26</v>
      </c>
      <c r="E140" s="628">
        <f>K61</f>
        <v>307637.88</v>
      </c>
      <c r="F140" s="628">
        <f>O61</f>
        <v>309285.86</v>
      </c>
      <c r="G140" s="617" t="s">
        <v>777</v>
      </c>
    </row>
    <row r="141" spans="1:15">
      <c r="A141" s="1124"/>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67" t="s">
        <v>113</v>
      </c>
      <c r="C9" s="1067" t="s">
        <v>168</v>
      </c>
      <c r="D9" s="1067" t="s">
        <v>457</v>
      </c>
      <c r="E9" s="1067"/>
      <c r="F9" s="1067"/>
      <c r="G9" s="1067"/>
      <c r="H9" s="1067" t="s">
        <v>458</v>
      </c>
      <c r="I9" s="1067"/>
      <c r="J9" s="1067"/>
      <c r="K9" s="1067"/>
      <c r="L9" s="1067" t="s">
        <v>459</v>
      </c>
      <c r="M9" s="1067"/>
      <c r="N9" s="1067"/>
      <c r="O9" s="1067"/>
    </row>
    <row r="10" spans="2:15" ht="25.5">
      <c r="B10" s="1067"/>
      <c r="C10" s="1067"/>
      <c r="D10" s="1067" t="s">
        <v>335</v>
      </c>
      <c r="E10" s="723" t="s">
        <v>336</v>
      </c>
      <c r="F10" s="1111" t="s">
        <v>337</v>
      </c>
      <c r="G10" s="1111" t="s">
        <v>171</v>
      </c>
      <c r="H10" s="1111" t="s">
        <v>335</v>
      </c>
      <c r="I10" s="723" t="s">
        <v>336</v>
      </c>
      <c r="J10" s="1067" t="s">
        <v>337</v>
      </c>
      <c r="K10" s="1067" t="s">
        <v>171</v>
      </c>
      <c r="L10" s="1067" t="s">
        <v>335</v>
      </c>
      <c r="M10" s="723" t="s">
        <v>336</v>
      </c>
      <c r="N10" s="1067" t="s">
        <v>337</v>
      </c>
      <c r="O10" s="1067" t="s">
        <v>171</v>
      </c>
    </row>
    <row r="11" spans="2:15">
      <c r="B11" s="1067"/>
      <c r="C11" s="1067"/>
      <c r="D11" s="1067"/>
      <c r="E11" s="723" t="s">
        <v>338</v>
      </c>
      <c r="F11" s="1111"/>
      <c r="G11" s="1111"/>
      <c r="H11" s="1111"/>
      <c r="I11" s="723" t="s">
        <v>338</v>
      </c>
      <c r="J11" s="1067"/>
      <c r="K11" s="1067"/>
      <c r="L11" s="1067"/>
      <c r="M11" s="723" t="s">
        <v>338</v>
      </c>
      <c r="N11" s="1067"/>
      <c r="O11" s="1067"/>
    </row>
    <row r="12" spans="2:15">
      <c r="B12" s="723">
        <v>1</v>
      </c>
      <c r="C12" s="1080" t="s">
        <v>339</v>
      </c>
      <c r="D12" s="1080">
        <v>1</v>
      </c>
      <c r="E12" s="623">
        <f>G12/F12</f>
        <v>4698.6105940273837</v>
      </c>
      <c r="F12" s="519">
        <v>278.27</v>
      </c>
      <c r="G12" s="224">
        <f>1238858.04+68624.33</f>
        <v>1307482.3700000001</v>
      </c>
      <c r="H12" s="1125">
        <v>1</v>
      </c>
      <c r="I12" s="1127">
        <f>K12/J12</f>
        <v>531.55438202247194</v>
      </c>
      <c r="J12" s="1129">
        <v>979</v>
      </c>
      <c r="K12" s="1131">
        <f>127608.34+553427.4-160644</f>
        <v>520391.74</v>
      </c>
      <c r="L12" s="1080">
        <v>1</v>
      </c>
      <c r="M12" s="1127">
        <f>O12/N12</f>
        <v>448.19878447395303</v>
      </c>
      <c r="N12" s="1129">
        <v>979</v>
      </c>
      <c r="O12" s="1131">
        <f>127608.34+471822.27-160644</f>
        <v>438786.61</v>
      </c>
    </row>
    <row r="13" spans="2:15" hidden="1">
      <c r="B13" s="723">
        <v>2</v>
      </c>
      <c r="C13" s="1116"/>
      <c r="D13" s="1116"/>
      <c r="E13" s="623">
        <v>363</v>
      </c>
      <c r="F13" s="519">
        <v>316.54000000000002</v>
      </c>
      <c r="G13" s="224">
        <v>114904.02</v>
      </c>
      <c r="H13" s="1126"/>
      <c r="I13" s="1128"/>
      <c r="J13" s="1130"/>
      <c r="K13" s="1132"/>
      <c r="L13" s="1116"/>
      <c r="M13" s="1128"/>
      <c r="N13" s="1130"/>
      <c r="O13" s="1132"/>
    </row>
    <row r="14" spans="2:15" s="708" customFormat="1" ht="14.25">
      <c r="B14" s="736" t="s">
        <v>18</v>
      </c>
      <c r="C14" s="648" t="s">
        <v>178</v>
      </c>
      <c r="D14" s="649">
        <f>D12</f>
        <v>1</v>
      </c>
      <c r="E14" s="737">
        <f>SUM(E12:E13)</f>
        <v>5061.6105940273837</v>
      </c>
      <c r="F14" s="738" t="s">
        <v>18</v>
      </c>
      <c r="G14" s="739">
        <f>G12</f>
        <v>1307482.3700000001</v>
      </c>
      <c r="H14" s="650">
        <f t="shared" ref="H14:O14" si="0">H12</f>
        <v>1</v>
      </c>
      <c r="I14" s="649">
        <f t="shared" si="0"/>
        <v>531.55438202247194</v>
      </c>
      <c r="J14" s="649">
        <f t="shared" si="0"/>
        <v>979</v>
      </c>
      <c r="K14" s="740">
        <f t="shared" si="0"/>
        <v>520391.74</v>
      </c>
      <c r="L14" s="649">
        <f t="shared" si="0"/>
        <v>1</v>
      </c>
      <c r="M14" s="649">
        <f t="shared" si="0"/>
        <v>448.19878447395303</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109" t="s">
        <v>113</v>
      </c>
      <c r="C20" s="1109" t="s">
        <v>168</v>
      </c>
      <c r="D20" s="1109" t="s">
        <v>457</v>
      </c>
      <c r="E20" s="1109"/>
      <c r="F20" s="1109"/>
      <c r="G20" s="1109"/>
      <c r="H20" s="1109" t="s">
        <v>458</v>
      </c>
      <c r="I20" s="1109"/>
      <c r="J20" s="1109"/>
      <c r="K20" s="1109"/>
      <c r="L20" s="1109" t="s">
        <v>459</v>
      </c>
      <c r="M20" s="1109"/>
      <c r="N20" s="1109"/>
      <c r="O20" s="1109"/>
    </row>
    <row r="21" spans="2:15" ht="25.5">
      <c r="B21" s="1109"/>
      <c r="C21" s="1109"/>
      <c r="D21" s="1109" t="s">
        <v>335</v>
      </c>
      <c r="E21" s="732" t="s">
        <v>336</v>
      </c>
      <c r="F21" s="1109" t="s">
        <v>337</v>
      </c>
      <c r="G21" s="1109" t="s">
        <v>171</v>
      </c>
      <c r="H21" s="1109" t="s">
        <v>335</v>
      </c>
      <c r="I21" s="732" t="s">
        <v>336</v>
      </c>
      <c r="J21" s="1109" t="s">
        <v>337</v>
      </c>
      <c r="K21" s="1109" t="s">
        <v>171</v>
      </c>
      <c r="L21" s="1109" t="s">
        <v>335</v>
      </c>
      <c r="M21" s="732" t="s">
        <v>336</v>
      </c>
      <c r="N21" s="1109" t="s">
        <v>337</v>
      </c>
      <c r="O21" s="1109" t="s">
        <v>171</v>
      </c>
    </row>
    <row r="22" spans="2:15">
      <c r="B22" s="1109"/>
      <c r="C22" s="1109"/>
      <c r="D22" s="1109"/>
      <c r="E22" s="732" t="s">
        <v>338</v>
      </c>
      <c r="F22" s="1109"/>
      <c r="G22" s="1109"/>
      <c r="H22" s="1109"/>
      <c r="I22" s="732" t="s">
        <v>338</v>
      </c>
      <c r="J22" s="1109"/>
      <c r="K22" s="1109"/>
      <c r="L22" s="1109"/>
      <c r="M22" s="732" t="s">
        <v>338</v>
      </c>
      <c r="N22" s="1109"/>
      <c r="O22" s="1109"/>
    </row>
    <row r="23" spans="2:15">
      <c r="B23" s="732">
        <v>1</v>
      </c>
      <c r="C23" s="386" t="s">
        <v>339</v>
      </c>
      <c r="D23" s="732">
        <v>1</v>
      </c>
      <c r="E23" s="768">
        <v>0</v>
      </c>
      <c r="F23" s="769">
        <v>0</v>
      </c>
      <c r="G23" s="395">
        <v>0</v>
      </c>
      <c r="H23" s="732">
        <v>1</v>
      </c>
      <c r="I23" s="768">
        <f>K23/J23</f>
        <v>130.28771115745567</v>
      </c>
      <c r="J23" s="770">
        <v>3836</v>
      </c>
      <c r="K23" s="395">
        <v>499783.66</v>
      </c>
      <c r="L23" s="732">
        <v>1</v>
      </c>
      <c r="M23" s="768">
        <f>O23/N23</f>
        <v>130.28771115745567</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130.28771115745567</v>
      </c>
      <c r="J24" s="410">
        <f t="shared" si="2"/>
        <v>3836</v>
      </c>
      <c r="K24" s="773">
        <f>K23</f>
        <v>499783.66</v>
      </c>
      <c r="L24" s="410">
        <f>L23</f>
        <v>1</v>
      </c>
      <c r="M24" s="410">
        <f t="shared" ref="M24:N24" si="3">M23</f>
        <v>130.28771115745567</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67" t="s">
        <v>113</v>
      </c>
      <c r="C32" s="1067" t="s">
        <v>168</v>
      </c>
      <c r="D32" s="1067" t="s">
        <v>342</v>
      </c>
      <c r="E32" s="1067" t="s">
        <v>457</v>
      </c>
      <c r="F32" s="1067"/>
      <c r="G32" s="1067"/>
      <c r="H32" s="1067" t="s">
        <v>458</v>
      </c>
      <c r="I32" s="1067"/>
      <c r="J32" s="1067"/>
      <c r="K32" s="1067" t="s">
        <v>459</v>
      </c>
      <c r="L32" s="1067"/>
      <c r="M32" s="1067"/>
    </row>
    <row r="33" spans="2:15">
      <c r="B33" s="1067"/>
      <c r="C33" s="1067"/>
      <c r="D33" s="1067"/>
      <c r="E33" s="1067" t="s">
        <v>343</v>
      </c>
      <c r="F33" s="1067" t="s">
        <v>231</v>
      </c>
      <c r="G33" s="1067" t="s">
        <v>171</v>
      </c>
      <c r="H33" s="1067" t="s">
        <v>343</v>
      </c>
      <c r="I33" s="1067" t="s">
        <v>231</v>
      </c>
      <c r="J33" s="1067" t="s">
        <v>171</v>
      </c>
      <c r="K33" s="1067" t="s">
        <v>343</v>
      </c>
      <c r="L33" s="1067" t="s">
        <v>231</v>
      </c>
      <c r="M33" s="1067" t="s">
        <v>171</v>
      </c>
    </row>
    <row r="34" spans="2:15">
      <c r="B34" s="1067"/>
      <c r="C34" s="1067"/>
      <c r="D34" s="1067"/>
      <c r="E34" s="1067"/>
      <c r="F34" s="1067"/>
      <c r="G34" s="1067"/>
      <c r="H34" s="1067"/>
      <c r="I34" s="1067"/>
      <c r="J34" s="1067"/>
      <c r="K34" s="1067"/>
      <c r="L34" s="1067"/>
      <c r="M34" s="1067"/>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3951.9669521770161</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4312.6231812577071</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4428.666666666667</v>
      </c>
      <c r="J38" s="61">
        <v>53144</v>
      </c>
      <c r="K38" s="723">
        <v>12</v>
      </c>
      <c r="L38" s="61">
        <f t="shared" ref="L38" si="6">M38/K38</f>
        <v>4428.666666666667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109" t="s">
        <v>113</v>
      </c>
      <c r="C49" s="1109" t="s">
        <v>168</v>
      </c>
      <c r="D49" s="1109" t="s">
        <v>342</v>
      </c>
      <c r="E49" s="1109" t="s">
        <v>457</v>
      </c>
      <c r="F49" s="1109"/>
      <c r="G49" s="1109"/>
      <c r="H49" s="1109" t="s">
        <v>458</v>
      </c>
      <c r="I49" s="1109"/>
      <c r="J49" s="1109"/>
      <c r="K49" s="1109" t="s">
        <v>459</v>
      </c>
      <c r="L49" s="1109"/>
      <c r="M49" s="1109"/>
    </row>
    <row r="50" spans="2:13" ht="25.5">
      <c r="B50" s="1109"/>
      <c r="C50" s="1109"/>
      <c r="D50" s="1109"/>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2206.9074999999998</v>
      </c>
      <c r="G52" s="395">
        <v>17655.259999999998</v>
      </c>
      <c r="H52" s="732">
        <v>8</v>
      </c>
      <c r="I52" s="395">
        <f>J52/H52</f>
        <v>2206.9074999999998</v>
      </c>
      <c r="J52" s="395">
        <v>17655.259999999998</v>
      </c>
      <c r="K52" s="732">
        <v>8</v>
      </c>
      <c r="L52" s="395">
        <f>M52/K52</f>
        <v>2206.9074999999998</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20219.744454545453</v>
      </c>
      <c r="G54" s="776">
        <f>1383821.9+840349.99</f>
        <v>2224171.8899999997</v>
      </c>
      <c r="H54" s="732">
        <v>200</v>
      </c>
      <c r="I54" s="395">
        <f>J54/H54</f>
        <v>9483.3542499999985</v>
      </c>
      <c r="J54" s="395">
        <f>1383821.9+512848.95</f>
        <v>1896670.8499999999</v>
      </c>
      <c r="K54" s="732">
        <v>200</v>
      </c>
      <c r="L54" s="395">
        <f>M54/K54</f>
        <v>9492.6751000000004</v>
      </c>
      <c r="M54" s="395">
        <f>1383821.9+514713.12</f>
        <v>1898535.02</v>
      </c>
    </row>
    <row r="55" spans="2:13">
      <c r="B55" s="388"/>
      <c r="C55" s="409" t="s">
        <v>178</v>
      </c>
      <c r="D55" s="411" t="s">
        <v>18</v>
      </c>
      <c r="E55" s="411" t="s">
        <v>18</v>
      </c>
      <c r="F55" s="777" t="s">
        <v>18</v>
      </c>
      <c r="G55" s="777">
        <f>SUM(G51:G54)</f>
        <v>2660417.1499999994</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67" t="s">
        <v>113</v>
      </c>
      <c r="C62" s="1067" t="s">
        <v>168</v>
      </c>
      <c r="D62" s="1067" t="s">
        <v>342</v>
      </c>
      <c r="E62" s="1067" t="s">
        <v>457</v>
      </c>
      <c r="F62" s="1067"/>
      <c r="G62" s="1067"/>
      <c r="H62" s="1067" t="s">
        <v>458</v>
      </c>
      <c r="I62" s="1067"/>
      <c r="J62" s="1067"/>
      <c r="K62" s="1067" t="s">
        <v>459</v>
      </c>
      <c r="L62" s="1067"/>
      <c r="M62" s="1067"/>
    </row>
    <row r="63" spans="2:13">
      <c r="B63" s="1067"/>
      <c r="C63" s="1067"/>
      <c r="D63" s="1067"/>
      <c r="E63" s="1067" t="s">
        <v>343</v>
      </c>
      <c r="F63" s="1067" t="s">
        <v>231</v>
      </c>
      <c r="G63" s="1067" t="s">
        <v>171</v>
      </c>
      <c r="H63" s="1067" t="s">
        <v>343</v>
      </c>
      <c r="I63" s="1067" t="s">
        <v>231</v>
      </c>
      <c r="J63" s="1067" t="s">
        <v>171</v>
      </c>
      <c r="K63" s="1067" t="s">
        <v>343</v>
      </c>
      <c r="L63" s="1067" t="s">
        <v>231</v>
      </c>
      <c r="M63" s="1067" t="s">
        <v>171</v>
      </c>
    </row>
    <row r="64" spans="2:13">
      <c r="B64" s="1067"/>
      <c r="C64" s="1067"/>
      <c r="D64" s="1067"/>
      <c r="E64" s="1067"/>
      <c r="F64" s="1067"/>
      <c r="G64" s="1067"/>
      <c r="H64" s="1067"/>
      <c r="I64" s="1067"/>
      <c r="J64" s="1067"/>
      <c r="K64" s="1067"/>
      <c r="L64" s="1067"/>
      <c r="M64" s="1067"/>
    </row>
    <row r="65" spans="2:13">
      <c r="B65" s="723">
        <v>1</v>
      </c>
      <c r="C65" s="724" t="s">
        <v>346</v>
      </c>
      <c r="D65" s="723" t="s">
        <v>321</v>
      </c>
      <c r="E65" s="723">
        <v>12</v>
      </c>
      <c r="F65" s="61">
        <f t="shared" ref="F65" si="11">G65/E65</f>
        <v>4279.0591666666669</v>
      </c>
      <c r="G65" s="61">
        <f>52171.2-822.49</f>
        <v>51348.71</v>
      </c>
      <c r="H65" s="723">
        <v>12</v>
      </c>
      <c r="I65" s="61">
        <f t="shared" ref="I65:I67" si="12">J65/H65</f>
        <v>4347.5999999999995</v>
      </c>
      <c r="J65" s="61">
        <v>52171.199999999997</v>
      </c>
      <c r="K65" s="723">
        <v>12</v>
      </c>
      <c r="L65" s="61">
        <f t="shared" ref="L65:L67" si="13">M65/K65</f>
        <v>4347.5999999999995</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282546.47000000003</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109" t="s">
        <v>113</v>
      </c>
      <c r="C76" s="1109" t="s">
        <v>168</v>
      </c>
      <c r="D76" s="1109" t="s">
        <v>342</v>
      </c>
      <c r="E76" s="1109" t="s">
        <v>457</v>
      </c>
      <c r="F76" s="1109"/>
      <c r="G76" s="1109"/>
      <c r="H76" s="1109" t="s">
        <v>458</v>
      </c>
      <c r="I76" s="1109"/>
      <c r="J76" s="1109"/>
      <c r="K76" s="1109" t="s">
        <v>459</v>
      </c>
      <c r="L76" s="1109"/>
      <c r="M76" s="1109"/>
    </row>
    <row r="77" spans="2:13" ht="25.5">
      <c r="B77" s="1109"/>
      <c r="C77" s="1109"/>
      <c r="D77" s="1109"/>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5651.8808333333336</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56" t="s">
        <v>113</v>
      </c>
      <c r="C87" s="1056" t="s">
        <v>168</v>
      </c>
      <c r="D87" s="1056" t="s">
        <v>342</v>
      </c>
      <c r="E87" s="1056" t="s">
        <v>457</v>
      </c>
      <c r="F87" s="1056"/>
      <c r="G87" s="1056"/>
      <c r="H87" s="1056" t="s">
        <v>458</v>
      </c>
      <c r="I87" s="1056"/>
      <c r="J87" s="1056"/>
      <c r="K87" s="1056" t="s">
        <v>459</v>
      </c>
      <c r="L87" s="1056"/>
      <c r="M87" s="1056"/>
    </row>
    <row r="88" spans="2:15" ht="25.5">
      <c r="B88" s="1056"/>
      <c r="C88" s="1056"/>
      <c r="D88" s="1056"/>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67" t="s">
        <v>113</v>
      </c>
      <c r="C97" s="1067" t="s">
        <v>168</v>
      </c>
      <c r="D97" s="1067" t="s">
        <v>342</v>
      </c>
      <c r="E97" s="1067" t="s">
        <v>457</v>
      </c>
      <c r="F97" s="1067"/>
      <c r="G97" s="1067"/>
      <c r="H97" s="1067" t="s">
        <v>458</v>
      </c>
      <c r="I97" s="1067"/>
      <c r="J97" s="1067"/>
      <c r="K97" s="1067" t="s">
        <v>459</v>
      </c>
      <c r="L97" s="1067"/>
      <c r="M97" s="1067"/>
    </row>
    <row r="98" spans="2:15">
      <c r="B98" s="1067"/>
      <c r="C98" s="1067"/>
      <c r="D98" s="1067"/>
      <c r="E98" s="1067" t="s">
        <v>343</v>
      </c>
      <c r="F98" s="1111" t="s">
        <v>357</v>
      </c>
      <c r="G98" s="1111" t="s">
        <v>171</v>
      </c>
      <c r="H98" s="1111" t="s">
        <v>343</v>
      </c>
      <c r="I98" s="1067" t="s">
        <v>357</v>
      </c>
      <c r="J98" s="1067" t="s">
        <v>171</v>
      </c>
      <c r="K98" s="1067" t="s">
        <v>343</v>
      </c>
      <c r="L98" s="1067" t="s">
        <v>357</v>
      </c>
      <c r="M98" s="1067" t="s">
        <v>171</v>
      </c>
    </row>
    <row r="99" spans="2:15" ht="17.25" customHeight="1">
      <c r="B99" s="1067"/>
      <c r="C99" s="1067"/>
      <c r="D99" s="1067"/>
      <c r="E99" s="1067"/>
      <c r="F99" s="1111"/>
      <c r="G99" s="1111"/>
      <c r="H99" s="1111"/>
      <c r="I99" s="1067"/>
      <c r="J99" s="1067"/>
      <c r="K99" s="1067"/>
      <c r="L99" s="1067"/>
      <c r="M99" s="1067"/>
    </row>
    <row r="100" spans="2:15" ht="49.5" customHeight="1">
      <c r="B100" s="723">
        <v>1</v>
      </c>
      <c r="C100" s="724" t="s">
        <v>516</v>
      </c>
      <c r="D100" s="723" t="s">
        <v>321</v>
      </c>
      <c r="E100" s="723">
        <v>22</v>
      </c>
      <c r="F100" s="224">
        <f>G100/E100</f>
        <v>91605.275454545452</v>
      </c>
      <c r="G100" s="224">
        <f>2175316.06-160000</f>
        <v>2015316.06</v>
      </c>
      <c r="H100" s="725">
        <v>20</v>
      </c>
      <c r="I100" s="61">
        <f>J100/H100</f>
        <v>108439.36899999999</v>
      </c>
      <c r="J100" s="61">
        <v>2168787.38</v>
      </c>
      <c r="K100" s="723">
        <v>20</v>
      </c>
      <c r="L100" s="61">
        <f>M100/K100</f>
        <v>114725.139</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67" t="s">
        <v>113</v>
      </c>
      <c r="C108" s="1067" t="s">
        <v>168</v>
      </c>
      <c r="D108" s="1067" t="s">
        <v>342</v>
      </c>
      <c r="E108" s="1067" t="s">
        <v>137</v>
      </c>
      <c r="F108" s="1067"/>
      <c r="G108" s="1067"/>
      <c r="H108" s="1067" t="s">
        <v>138</v>
      </c>
      <c r="I108" s="1067"/>
      <c r="J108" s="1067"/>
      <c r="K108" s="1067" t="s">
        <v>139</v>
      </c>
      <c r="L108" s="1067"/>
      <c r="M108" s="1067"/>
    </row>
    <row r="109" spans="2:15" ht="25.5" hidden="1">
      <c r="B109" s="1067"/>
      <c r="C109" s="1067"/>
      <c r="D109" s="1067"/>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2206.9074999999998</v>
      </c>
      <c r="G111" s="61">
        <v>17655.259999999998</v>
      </c>
      <c r="H111" s="723">
        <v>8</v>
      </c>
      <c r="I111" s="61">
        <f>J111/H111</f>
        <v>2206.9074999999998</v>
      </c>
      <c r="J111" s="61">
        <v>17655.259999999998</v>
      </c>
      <c r="K111" s="723">
        <v>8</v>
      </c>
      <c r="L111" s="61">
        <f>M111/K111</f>
        <v>2206.9074999999998</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4145.2141818181817</v>
      </c>
      <c r="G113" s="747">
        <f>615839.48-60000+70438.2-170304.12</f>
        <v>455973.55999999994</v>
      </c>
      <c r="H113" s="723">
        <v>200</v>
      </c>
      <c r="I113" s="61">
        <f>J113/H113</f>
        <v>6441.1751000000004</v>
      </c>
      <c r="J113" s="61">
        <v>1288235.02</v>
      </c>
      <c r="K113" s="723">
        <v>200</v>
      </c>
      <c r="L113" s="61">
        <f>M113/K113</f>
        <v>6449.4056499999997</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140621.84000000003</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2675018.4699999997</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67" t="s">
        <v>113</v>
      </c>
      <c r="C135" s="1067" t="s">
        <v>168</v>
      </c>
      <c r="D135" s="1067" t="s">
        <v>342</v>
      </c>
      <c r="E135" s="1067" t="s">
        <v>137</v>
      </c>
      <c r="F135" s="1067"/>
      <c r="G135" s="1067"/>
      <c r="H135" s="1067" t="s">
        <v>138</v>
      </c>
      <c r="I135" s="1067"/>
      <c r="J135" s="1067"/>
      <c r="K135" s="1067" t="s">
        <v>139</v>
      </c>
      <c r="L135" s="1067"/>
      <c r="M135" s="1067"/>
    </row>
    <row r="136" spans="2:17" hidden="1">
      <c r="B136" s="1067"/>
      <c r="C136" s="1067"/>
      <c r="D136" s="1067"/>
      <c r="E136" s="1067" t="s">
        <v>343</v>
      </c>
      <c r="F136" s="1067" t="s">
        <v>231</v>
      </c>
      <c r="G136" s="1067" t="s">
        <v>171</v>
      </c>
      <c r="H136" s="1067" t="s">
        <v>343</v>
      </c>
      <c r="I136" s="723" t="s">
        <v>290</v>
      </c>
      <c r="J136" s="1067" t="s">
        <v>171</v>
      </c>
      <c r="K136" s="1067" t="s">
        <v>343</v>
      </c>
      <c r="L136" s="723" t="s">
        <v>290</v>
      </c>
      <c r="M136" s="1067" t="s">
        <v>171</v>
      </c>
    </row>
    <row r="137" spans="2:17" hidden="1">
      <c r="B137" s="1067"/>
      <c r="C137" s="1067"/>
      <c r="D137" s="1067"/>
      <c r="E137" s="1067"/>
      <c r="F137" s="1067"/>
      <c r="G137" s="1067"/>
      <c r="H137" s="1067"/>
      <c r="I137" s="723" t="s">
        <v>358</v>
      </c>
      <c r="J137" s="1067"/>
      <c r="K137" s="1067"/>
      <c r="L137" s="723" t="s">
        <v>358</v>
      </c>
      <c r="M137" s="1067"/>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67" t="s">
        <v>113</v>
      </c>
      <c r="C144" s="1067" t="s">
        <v>168</v>
      </c>
      <c r="D144" s="1067" t="s">
        <v>364</v>
      </c>
      <c r="E144" s="1067" t="s">
        <v>198</v>
      </c>
      <c r="F144" s="1067"/>
      <c r="G144" s="1067"/>
      <c r="H144" s="1067" t="s">
        <v>199</v>
      </c>
      <c r="I144" s="1067"/>
      <c r="J144" s="1067"/>
      <c r="K144" s="1067" t="s">
        <v>200</v>
      </c>
      <c r="L144" s="1067"/>
      <c r="M144" s="1067"/>
    </row>
    <row r="145" spans="2:13" hidden="1">
      <c r="B145" s="1067"/>
      <c r="C145" s="1067"/>
      <c r="D145" s="1067"/>
      <c r="E145" s="1067" t="s">
        <v>343</v>
      </c>
      <c r="F145" s="1067" t="s">
        <v>231</v>
      </c>
      <c r="G145" s="1067" t="s">
        <v>171</v>
      </c>
      <c r="H145" s="1067" t="s">
        <v>343</v>
      </c>
      <c r="I145" s="723" t="s">
        <v>290</v>
      </c>
      <c r="J145" s="1067" t="s">
        <v>171</v>
      </c>
      <c r="K145" s="1067" t="s">
        <v>343</v>
      </c>
      <c r="L145" s="723" t="s">
        <v>290</v>
      </c>
      <c r="M145" s="1067" t="s">
        <v>171</v>
      </c>
    </row>
    <row r="146" spans="2:13" hidden="1">
      <c r="B146" s="1067"/>
      <c r="C146" s="1067"/>
      <c r="D146" s="1067"/>
      <c r="E146" s="1067"/>
      <c r="F146" s="1067"/>
      <c r="G146" s="1067"/>
      <c r="H146" s="1067"/>
      <c r="I146" s="723" t="s">
        <v>358</v>
      </c>
      <c r="J146" s="1067"/>
      <c r="K146" s="1067"/>
      <c r="L146" s="723" t="s">
        <v>358</v>
      </c>
      <c r="M146" s="1067"/>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67" t="s">
        <v>113</v>
      </c>
      <c r="C153" s="1067" t="s">
        <v>168</v>
      </c>
      <c r="D153" s="1067" t="s">
        <v>364</v>
      </c>
      <c r="E153" s="1067" t="s">
        <v>198</v>
      </c>
      <c r="F153" s="1067"/>
      <c r="G153" s="1067"/>
      <c r="H153" s="1067" t="s">
        <v>199</v>
      </c>
      <c r="I153" s="1067"/>
      <c r="J153" s="1067"/>
      <c r="K153" s="1067" t="s">
        <v>200</v>
      </c>
      <c r="L153" s="1067"/>
      <c r="M153" s="1067"/>
    </row>
    <row r="154" spans="2:13" hidden="1">
      <c r="B154" s="1067"/>
      <c r="C154" s="1067"/>
      <c r="D154" s="1067"/>
      <c r="E154" s="1067" t="s">
        <v>343</v>
      </c>
      <c r="F154" s="1067" t="s">
        <v>231</v>
      </c>
      <c r="G154" s="1067" t="s">
        <v>171</v>
      </c>
      <c r="H154" s="1067" t="s">
        <v>343</v>
      </c>
      <c r="I154" s="723" t="s">
        <v>290</v>
      </c>
      <c r="J154" s="1067" t="s">
        <v>171</v>
      </c>
      <c r="K154" s="1067" t="s">
        <v>343</v>
      </c>
      <c r="L154" s="723" t="s">
        <v>324</v>
      </c>
      <c r="M154" s="1067" t="s">
        <v>171</v>
      </c>
    </row>
    <row r="155" spans="2:13" hidden="1">
      <c r="B155" s="1067"/>
      <c r="C155" s="1067"/>
      <c r="D155" s="1067"/>
      <c r="E155" s="1067"/>
      <c r="F155" s="1067"/>
      <c r="G155" s="1067"/>
      <c r="H155" s="1067"/>
      <c r="I155" s="723" t="s">
        <v>358</v>
      </c>
      <c r="J155" s="1067"/>
      <c r="K155" s="1067"/>
      <c r="L155" s="723" t="s">
        <v>366</v>
      </c>
      <c r="M155" s="1067"/>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67" t="s">
        <v>113</v>
      </c>
      <c r="C161" s="1067" t="s">
        <v>168</v>
      </c>
      <c r="D161" s="1067" t="s">
        <v>342</v>
      </c>
      <c r="E161" s="1067" t="s">
        <v>137</v>
      </c>
      <c r="F161" s="1067"/>
      <c r="G161" s="1067"/>
      <c r="H161" s="1067" t="s">
        <v>138</v>
      </c>
      <c r="I161" s="1067"/>
      <c r="J161" s="1067"/>
      <c r="K161" s="1067" t="s">
        <v>139</v>
      </c>
      <c r="L161" s="1067"/>
      <c r="M161" s="1067"/>
      <c r="N161" s="313"/>
      <c r="O161" s="313"/>
    </row>
    <row r="162" spans="2:15" hidden="1">
      <c r="B162" s="1067"/>
      <c r="C162" s="1067"/>
      <c r="D162" s="1067"/>
      <c r="E162" s="1067" t="s">
        <v>343</v>
      </c>
      <c r="F162" s="1067" t="s">
        <v>231</v>
      </c>
      <c r="G162" s="1067" t="s">
        <v>171</v>
      </c>
      <c r="H162" s="1067" t="s">
        <v>343</v>
      </c>
      <c r="I162" s="723" t="s">
        <v>290</v>
      </c>
      <c r="J162" s="1067" t="s">
        <v>171</v>
      </c>
      <c r="K162" s="1067" t="s">
        <v>343</v>
      </c>
      <c r="L162" s="723" t="s">
        <v>290</v>
      </c>
      <c r="M162" s="1067" t="s">
        <v>171</v>
      </c>
    </row>
    <row r="163" spans="2:15" hidden="1">
      <c r="B163" s="1067"/>
      <c r="C163" s="1067"/>
      <c r="D163" s="1067"/>
      <c r="E163" s="1067"/>
      <c r="F163" s="1067"/>
      <c r="G163" s="1067"/>
      <c r="H163" s="1067"/>
      <c r="I163" s="723" t="s">
        <v>358</v>
      </c>
      <c r="J163" s="1067"/>
      <c r="K163" s="1067"/>
      <c r="L163" s="723" t="s">
        <v>358</v>
      </c>
      <c r="M163" s="1067"/>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-374298.30000000075</v>
      </c>
      <c r="F175" s="713">
        <f t="shared" ref="F175:G175" si="19">F177-F176</f>
        <v>-86722.569999999832</v>
      </c>
      <c r="G175" s="713">
        <f t="shared" si="19"/>
        <v>-86722.569999999832</v>
      </c>
    </row>
    <row r="176" spans="2:15" hidden="1">
      <c r="E176" s="313">
        <v>3034715.45</v>
      </c>
      <c r="F176" s="313">
        <v>2996210.54</v>
      </c>
      <c r="G176" s="313">
        <v>2998074.71</v>
      </c>
    </row>
    <row r="177" spans="2:10" hidden="1">
      <c r="B177" s="313">
        <v>2</v>
      </c>
      <c r="C177" s="313" t="s">
        <v>786</v>
      </c>
      <c r="D177" s="313">
        <v>226</v>
      </c>
      <c r="E177" s="711">
        <f>G24+G55</f>
        <v>2660417.1499999994</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282546.47000000003</v>
      </c>
      <c r="F182" s="711">
        <f>J69</f>
        <v>365532.84</v>
      </c>
      <c r="G182" s="711">
        <f>M69</f>
        <v>365532.84</v>
      </c>
    </row>
    <row r="183" spans="2:10" hidden="1">
      <c r="F183" s="713">
        <f>F178+F182</f>
        <v>1046568.5800000001</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2660417.1499999994</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282546.47000000003</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67" t="s">
        <v>113</v>
      </c>
      <c r="B7" s="1067" t="s">
        <v>2</v>
      </c>
      <c r="C7" s="1067" t="s">
        <v>137</v>
      </c>
      <c r="D7" s="1067"/>
      <c r="E7" s="1067"/>
      <c r="F7" s="1067"/>
      <c r="G7" s="1067" t="s">
        <v>138</v>
      </c>
      <c r="H7" s="1067"/>
      <c r="I7" s="1067"/>
      <c r="J7" s="1067"/>
      <c r="K7" s="1067" t="s">
        <v>139</v>
      </c>
      <c r="L7" s="1067"/>
      <c r="M7" s="1067"/>
      <c r="N7" s="1067"/>
      <c r="O7" s="501"/>
    </row>
    <row r="8" spans="1:17" s="383" customFormat="1" ht="23.25" customHeight="1">
      <c r="A8" s="1067"/>
      <c r="B8" s="1067"/>
      <c r="C8" s="1067" t="s">
        <v>252</v>
      </c>
      <c r="D8" s="1068" t="s">
        <v>253</v>
      </c>
      <c r="E8" s="1069"/>
      <c r="F8" s="1067" t="s">
        <v>171</v>
      </c>
      <c r="G8" s="1067" t="s">
        <v>252</v>
      </c>
      <c r="H8" s="1068" t="s">
        <v>253</v>
      </c>
      <c r="I8" s="1069"/>
      <c r="J8" s="1067" t="s">
        <v>171</v>
      </c>
      <c r="K8" s="1067" t="s">
        <v>252</v>
      </c>
      <c r="L8" s="1068" t="s">
        <v>253</v>
      </c>
      <c r="M8" s="1069"/>
      <c r="N8" s="1067" t="s">
        <v>171</v>
      </c>
      <c r="O8" s="501"/>
    </row>
    <row r="9" spans="1:17" s="383" customFormat="1" ht="27" customHeight="1">
      <c r="A9" s="1067"/>
      <c r="B9" s="1067"/>
      <c r="C9" s="1067"/>
      <c r="D9" s="614" t="s">
        <v>254</v>
      </c>
      <c r="E9" s="614" t="s">
        <v>255</v>
      </c>
      <c r="F9" s="1067"/>
      <c r="G9" s="1067"/>
      <c r="H9" s="614" t="s">
        <v>255</v>
      </c>
      <c r="I9" s="614" t="s">
        <v>256</v>
      </c>
      <c r="J9" s="1067"/>
      <c r="K9" s="1067"/>
      <c r="L9" s="1068" t="s">
        <v>257</v>
      </c>
      <c r="M9" s="1069"/>
      <c r="N9" s="1067"/>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68">
        <v>1867.21</v>
      </c>
      <c r="M10" s="1069"/>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68">
        <v>6.29</v>
      </c>
      <c r="M11" s="1069"/>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68">
        <v>1867.21</v>
      </c>
      <c r="M12" s="1069"/>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80" t="s">
        <v>113</v>
      </c>
      <c r="B19" s="1080" t="s">
        <v>2</v>
      </c>
      <c r="C19" s="1068" t="s">
        <v>457</v>
      </c>
      <c r="D19" s="1081"/>
      <c r="E19" s="1081"/>
      <c r="F19" s="1069"/>
      <c r="G19" s="1068" t="s">
        <v>458</v>
      </c>
      <c r="H19" s="1081"/>
      <c r="I19" s="1081"/>
      <c r="J19" s="1069"/>
      <c r="K19" s="1068" t="s">
        <v>459</v>
      </c>
      <c r="L19" s="1081"/>
      <c r="M19" s="1081"/>
      <c r="N19" s="1069"/>
      <c r="O19" s="516"/>
    </row>
    <row r="20" spans="1:19" s="383" customFormat="1" ht="21" customHeight="1">
      <c r="A20" s="1067"/>
      <c r="B20" s="1067"/>
      <c r="C20" s="1080" t="s">
        <v>252</v>
      </c>
      <c r="D20" s="1068" t="s">
        <v>253</v>
      </c>
      <c r="E20" s="1069"/>
      <c r="F20" s="1080" t="s">
        <v>171</v>
      </c>
      <c r="G20" s="1080" t="s">
        <v>252</v>
      </c>
      <c r="H20" s="1068" t="s">
        <v>253</v>
      </c>
      <c r="I20" s="1069"/>
      <c r="J20" s="1080" t="s">
        <v>171</v>
      </c>
      <c r="K20" s="1080" t="s">
        <v>252</v>
      </c>
      <c r="L20" s="1068" t="s">
        <v>253</v>
      </c>
      <c r="M20" s="1069"/>
      <c r="N20" s="1080" t="s">
        <v>171</v>
      </c>
      <c r="O20" s="516"/>
    </row>
    <row r="21" spans="1:19" s="383" customFormat="1" ht="25.5">
      <c r="A21" s="1067"/>
      <c r="B21" s="1067"/>
      <c r="C21" s="1067"/>
      <c r="D21" s="614" t="s">
        <v>472</v>
      </c>
      <c r="E21" s="614" t="s">
        <v>473</v>
      </c>
      <c r="F21" s="1067"/>
      <c r="G21" s="1067"/>
      <c r="H21" s="614" t="s">
        <v>474</v>
      </c>
      <c r="I21" s="614" t="s">
        <v>475</v>
      </c>
      <c r="J21" s="1067"/>
      <c r="K21" s="1067"/>
      <c r="L21" s="614" t="s">
        <v>476</v>
      </c>
      <c r="M21" s="614" t="s">
        <v>477</v>
      </c>
      <c r="N21" s="1067"/>
      <c r="O21" s="516"/>
      <c r="Q21" s="397">
        <f>F29</f>
        <v>801569.99999999988</v>
      </c>
      <c r="R21" s="397">
        <f>J29</f>
        <v>810098.39</v>
      </c>
      <c r="S21" s="397">
        <f>N29</f>
        <v>820430.14</v>
      </c>
    </row>
    <row r="22" spans="1:19" s="383" customFormat="1" ht="15" customHeight="1">
      <c r="A22" s="614">
        <v>1</v>
      </c>
      <c r="B22" s="517" t="s">
        <v>258</v>
      </c>
      <c r="C22" s="450">
        <f>F22/((D22+E22)/2)</f>
        <v>206.23806453641967</v>
      </c>
      <c r="D22" s="614">
        <v>1907.76</v>
      </c>
      <c r="E22" s="614">
        <v>1907.76</v>
      </c>
      <c r="F22" s="61">
        <f>216587.99+176864.74</f>
        <v>393452.73</v>
      </c>
      <c r="G22" s="450">
        <f>J22/((H22+I22)/2)</f>
        <v>200.94530634522602</v>
      </c>
      <c r="H22" s="614">
        <v>1907.76</v>
      </c>
      <c r="I22" s="614">
        <v>1976.42</v>
      </c>
      <c r="J22" s="61">
        <f>218616.21+171637.66</f>
        <v>390253.87</v>
      </c>
      <c r="K22" s="450">
        <f t="shared" ref="K22:K23" si="3">N22/((L22+M22)/2)</f>
        <v>197.16875967658697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50009.068249258155</v>
      </c>
      <c r="D23" s="614">
        <v>6.64</v>
      </c>
      <c r="E23" s="614">
        <v>6.84</v>
      </c>
      <c r="F23" s="61">
        <v>337061.12</v>
      </c>
      <c r="G23" s="450">
        <f t="shared" ref="G23" si="4">J23/((H23+I23)/2)</f>
        <v>50009.729301655869</v>
      </c>
      <c r="H23" s="614">
        <v>6.84</v>
      </c>
      <c r="I23" s="614">
        <v>7.05</v>
      </c>
      <c r="J23" s="61">
        <v>347317.57</v>
      </c>
      <c r="K23" s="450">
        <f t="shared" si="3"/>
        <v>50008.690426275338</v>
      </c>
      <c r="L23" s="614">
        <v>7.05</v>
      </c>
      <c r="M23" s="614">
        <v>7.26</v>
      </c>
      <c r="N23" s="61">
        <v>357812.18</v>
      </c>
      <c r="O23" s="501"/>
      <c r="Q23" s="398">
        <f>SUM(Q21:Q22)</f>
        <v>920263.99999999988</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324.40666534417778</v>
      </c>
      <c r="D25" s="509">
        <v>49.57</v>
      </c>
      <c r="E25" s="509">
        <v>51.25</v>
      </c>
      <c r="F25" s="61">
        <v>16353.34</v>
      </c>
      <c r="G25" s="450">
        <f>J25/((H25+I25)/2)</f>
        <v>324.58928225962472</v>
      </c>
      <c r="H25" s="509">
        <v>51.25</v>
      </c>
      <c r="I25" s="509">
        <v>52.13</v>
      </c>
      <c r="J25" s="61">
        <v>16778.02</v>
      </c>
      <c r="K25" s="450">
        <f>N25/((L25+M25)/2)</f>
        <v>324.77997314406286</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324.53275671696724</v>
      </c>
      <c r="D27" s="509">
        <v>53.74</v>
      </c>
      <c r="E27" s="518">
        <v>54.94</v>
      </c>
      <c r="F27" s="224">
        <v>17635.11</v>
      </c>
      <c r="G27" s="519">
        <f>J27/((H27+I27)/2)</f>
        <v>324.49029823931011</v>
      </c>
      <c r="H27" s="518">
        <v>54.94</v>
      </c>
      <c r="I27" s="509">
        <v>56.38</v>
      </c>
      <c r="J27" s="61">
        <v>18061.13</v>
      </c>
      <c r="K27" s="450">
        <f>N27/((L27+M27)/2)</f>
        <v>324.78006385242992</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50.836373936912821</v>
      </c>
      <c r="H28" s="518">
        <v>728.95</v>
      </c>
      <c r="I28" s="509">
        <v>753.76</v>
      </c>
      <c r="J28" s="61">
        <v>37687.800000000003</v>
      </c>
      <c r="K28" s="450">
        <f>N28/((L28+M28)/2)</f>
        <v>50.836373936912821</v>
      </c>
      <c r="L28" s="518">
        <v>728.95</v>
      </c>
      <c r="M28" s="509">
        <v>753.76</v>
      </c>
      <c r="N28" s="61">
        <v>37687.800000000003</v>
      </c>
      <c r="O28" s="516"/>
      <c r="Q28" s="398"/>
    </row>
    <row r="29" spans="1:19" s="383" customFormat="1">
      <c r="A29" s="505"/>
      <c r="B29" s="520" t="s">
        <v>178</v>
      </c>
      <c r="C29" s="507" t="s">
        <v>18</v>
      </c>
      <c r="D29" s="507" t="s">
        <v>18</v>
      </c>
      <c r="E29" s="508" t="s">
        <v>18</v>
      </c>
      <c r="F29" s="224">
        <f>SUM(F22:F28)</f>
        <v>801569.99999999988</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67" t="s">
        <v>113</v>
      </c>
      <c r="B35" s="1067" t="s">
        <v>2</v>
      </c>
      <c r="C35" s="1067" t="s">
        <v>137</v>
      </c>
      <c r="D35" s="1067"/>
      <c r="E35" s="1067"/>
      <c r="F35" s="1067"/>
      <c r="G35" s="1067" t="s">
        <v>138</v>
      </c>
      <c r="H35" s="1067"/>
      <c r="I35" s="1067"/>
      <c r="J35" s="1067"/>
      <c r="K35" s="1067" t="s">
        <v>139</v>
      </c>
      <c r="L35" s="1067"/>
      <c r="M35" s="1067"/>
      <c r="N35" s="1067"/>
      <c r="O35" s="501"/>
    </row>
    <row r="36" spans="1:19" s="383" customFormat="1" ht="27" customHeight="1">
      <c r="A36" s="1067"/>
      <c r="B36" s="1067"/>
      <c r="C36" s="1067" t="s">
        <v>252</v>
      </c>
      <c r="D36" s="1068" t="s">
        <v>253</v>
      </c>
      <c r="E36" s="1069"/>
      <c r="F36" s="1067" t="s">
        <v>171</v>
      </c>
      <c r="G36" s="1067" t="s">
        <v>252</v>
      </c>
      <c r="H36" s="1068" t="s">
        <v>253</v>
      </c>
      <c r="I36" s="1069"/>
      <c r="J36" s="1067" t="s">
        <v>171</v>
      </c>
      <c r="K36" s="1067" t="s">
        <v>252</v>
      </c>
      <c r="L36" s="1068" t="s">
        <v>253</v>
      </c>
      <c r="M36" s="1069"/>
      <c r="N36" s="1067" t="s">
        <v>171</v>
      </c>
      <c r="O36" s="501"/>
    </row>
    <row r="37" spans="1:19" s="383" customFormat="1" ht="30.75" customHeight="1">
      <c r="A37" s="1067"/>
      <c r="B37" s="1067"/>
      <c r="C37" s="1067"/>
      <c r="D37" s="614" t="s">
        <v>266</v>
      </c>
      <c r="E37" s="614" t="s">
        <v>267</v>
      </c>
      <c r="F37" s="1067"/>
      <c r="G37" s="1067"/>
      <c r="H37" s="614" t="s">
        <v>267</v>
      </c>
      <c r="I37" s="614" t="s">
        <v>268</v>
      </c>
      <c r="J37" s="1067"/>
      <c r="K37" s="1067"/>
      <c r="L37" s="1068" t="s">
        <v>257</v>
      </c>
      <c r="M37" s="1069"/>
      <c r="N37" s="1067"/>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68">
        <v>1867.21</v>
      </c>
      <c r="M38" s="1069"/>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68">
        <v>6.29</v>
      </c>
      <c r="M39" s="1069"/>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68">
        <v>1867.21</v>
      </c>
      <c r="M40" s="1069"/>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80" t="s">
        <v>113</v>
      </c>
      <c r="B47" s="1080" t="s">
        <v>2</v>
      </c>
      <c r="C47" s="1068" t="s">
        <v>457</v>
      </c>
      <c r="D47" s="1081"/>
      <c r="E47" s="1081"/>
      <c r="F47" s="1069"/>
      <c r="G47" s="1068" t="s">
        <v>458</v>
      </c>
      <c r="H47" s="1081"/>
      <c r="I47" s="1081"/>
      <c r="J47" s="1069"/>
      <c r="K47" s="1068" t="s">
        <v>459</v>
      </c>
      <c r="L47" s="1081"/>
      <c r="M47" s="1081"/>
      <c r="N47" s="1069"/>
      <c r="O47" s="516"/>
    </row>
    <row r="48" spans="1:19" s="383" customFormat="1" ht="23.25" customHeight="1">
      <c r="A48" s="1067"/>
      <c r="B48" s="1067"/>
      <c r="C48" s="1080" t="s">
        <v>252</v>
      </c>
      <c r="D48" s="1068" t="s">
        <v>253</v>
      </c>
      <c r="E48" s="1069"/>
      <c r="F48" s="1080" t="s">
        <v>171</v>
      </c>
      <c r="G48" s="1080" t="s">
        <v>252</v>
      </c>
      <c r="H48" s="1068" t="s">
        <v>253</v>
      </c>
      <c r="I48" s="1069"/>
      <c r="J48" s="1080" t="s">
        <v>171</v>
      </c>
      <c r="K48" s="1080" t="s">
        <v>252</v>
      </c>
      <c r="L48" s="1068" t="s">
        <v>253</v>
      </c>
      <c r="M48" s="1069"/>
      <c r="N48" s="1080" t="s">
        <v>171</v>
      </c>
      <c r="O48" s="516"/>
    </row>
    <row r="49" spans="1:19" s="383" customFormat="1" ht="25.5">
      <c r="A49" s="1067"/>
      <c r="B49" s="1067"/>
      <c r="C49" s="1067"/>
      <c r="D49" s="614" t="s">
        <v>472</v>
      </c>
      <c r="E49" s="614" t="s">
        <v>473</v>
      </c>
      <c r="F49" s="1067"/>
      <c r="G49" s="1067"/>
      <c r="H49" s="614" t="s">
        <v>474</v>
      </c>
      <c r="I49" s="614" t="s">
        <v>475</v>
      </c>
      <c r="J49" s="1067"/>
      <c r="K49" s="1067"/>
      <c r="L49" s="614" t="s">
        <v>476</v>
      </c>
      <c r="M49" s="614" t="s">
        <v>477</v>
      </c>
      <c r="N49" s="1067"/>
      <c r="O49" s="516"/>
    </row>
    <row r="50" spans="1:19" s="383" customFormat="1" ht="15.75" customHeight="1">
      <c r="A50" s="614">
        <v>1</v>
      </c>
      <c r="B50" s="517" t="s">
        <v>258</v>
      </c>
      <c r="C50" s="450">
        <f>F50/((D50+E50)/2)</f>
        <v>62.216421352790711</v>
      </c>
      <c r="D50" s="614">
        <v>1907.76</v>
      </c>
      <c r="E50" s="614">
        <v>1907.76</v>
      </c>
      <c r="F50" s="61">
        <v>118694</v>
      </c>
      <c r="G50" s="450">
        <f>J50/((H50+I50)/2)</f>
        <v>62.46236786142763</v>
      </c>
      <c r="H50" s="614">
        <v>1907.76</v>
      </c>
      <c r="I50" s="614">
        <v>1976.42</v>
      </c>
      <c r="J50" s="61">
        <v>121307.54</v>
      </c>
      <c r="K50" s="450">
        <f>N50/((L50+M50)/2)</f>
        <v>62.979381912751336</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67" t="s">
        <v>113</v>
      </c>
      <c r="B64" s="1067" t="s">
        <v>168</v>
      </c>
      <c r="C64" s="1067" t="s">
        <v>364</v>
      </c>
      <c r="D64" s="1067" t="s">
        <v>137</v>
      </c>
      <c r="E64" s="1067"/>
      <c r="F64" s="1067"/>
      <c r="G64" s="1067" t="s">
        <v>138</v>
      </c>
      <c r="H64" s="1067"/>
      <c r="I64" s="1067"/>
      <c r="J64" s="1067" t="s">
        <v>139</v>
      </c>
      <c r="K64" s="1067"/>
      <c r="L64" s="1067"/>
      <c r="M64" s="457"/>
      <c r="N64" s="457"/>
      <c r="O64" s="457"/>
    </row>
    <row r="65" spans="1:15">
      <c r="A65" s="1067"/>
      <c r="B65" s="1067"/>
      <c r="C65" s="1067"/>
      <c r="D65" s="1067" t="s">
        <v>343</v>
      </c>
      <c r="E65" s="1067" t="s">
        <v>231</v>
      </c>
      <c r="F65" s="1067" t="s">
        <v>171</v>
      </c>
      <c r="G65" s="1067" t="s">
        <v>343</v>
      </c>
      <c r="H65" s="614" t="s">
        <v>290</v>
      </c>
      <c r="I65" s="1067" t="s">
        <v>171</v>
      </c>
      <c r="J65" s="1067" t="s">
        <v>343</v>
      </c>
      <c r="K65" s="614" t="s">
        <v>290</v>
      </c>
      <c r="L65" s="1067" t="s">
        <v>171</v>
      </c>
      <c r="M65" s="457"/>
      <c r="N65" s="457"/>
      <c r="O65" s="457"/>
    </row>
    <row r="66" spans="1:15">
      <c r="A66" s="1067"/>
      <c r="B66" s="1067"/>
      <c r="C66" s="1067"/>
      <c r="D66" s="1067"/>
      <c r="E66" s="1067"/>
      <c r="F66" s="1067"/>
      <c r="G66" s="1067"/>
      <c r="H66" s="614" t="s">
        <v>358</v>
      </c>
      <c r="I66" s="1067"/>
      <c r="J66" s="1067"/>
      <c r="K66" s="614" t="s">
        <v>358</v>
      </c>
      <c r="L66" s="1067"/>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67" t="s">
        <v>113</v>
      </c>
      <c r="C8" s="1067" t="s">
        <v>168</v>
      </c>
      <c r="D8" s="1067" t="s">
        <v>364</v>
      </c>
      <c r="E8" s="1067" t="s">
        <v>457</v>
      </c>
      <c r="F8" s="1067"/>
      <c r="G8" s="1067"/>
      <c r="H8" s="1067" t="s">
        <v>458</v>
      </c>
      <c r="I8" s="1067"/>
      <c r="J8" s="1067"/>
      <c r="K8" s="1067" t="s">
        <v>459</v>
      </c>
      <c r="L8" s="1067"/>
      <c r="M8" s="1067"/>
      <c r="N8" s="701"/>
    </row>
    <row r="9" spans="2:15">
      <c r="B9" s="1067"/>
      <c r="C9" s="1067"/>
      <c r="D9" s="1067"/>
      <c r="E9" s="1067" t="s">
        <v>343</v>
      </c>
      <c r="F9" s="1067" t="s">
        <v>231</v>
      </c>
      <c r="G9" s="1067" t="s">
        <v>171</v>
      </c>
      <c r="H9" s="1067" t="s">
        <v>343</v>
      </c>
      <c r="I9" s="639" t="s">
        <v>290</v>
      </c>
      <c r="J9" s="1067" t="s">
        <v>171</v>
      </c>
      <c r="K9" s="1067" t="s">
        <v>343</v>
      </c>
      <c r="L9" s="639" t="s">
        <v>290</v>
      </c>
      <c r="M9" s="1067" t="s">
        <v>171</v>
      </c>
      <c r="N9" s="701"/>
    </row>
    <row r="10" spans="2:15">
      <c r="B10" s="1067"/>
      <c r="C10" s="1067"/>
      <c r="D10" s="1067"/>
      <c r="E10" s="1067"/>
      <c r="F10" s="1067"/>
      <c r="G10" s="1067"/>
      <c r="H10" s="1067"/>
      <c r="I10" s="639" t="s">
        <v>358</v>
      </c>
      <c r="J10" s="1067"/>
      <c r="K10" s="1067"/>
      <c r="L10" s="639" t="s">
        <v>358</v>
      </c>
      <c r="M10" s="1067"/>
      <c r="N10" s="701"/>
    </row>
    <row r="11" spans="2:15" ht="25.5">
      <c r="B11" s="639">
        <v>1</v>
      </c>
      <c r="C11" s="517" t="s">
        <v>548</v>
      </c>
      <c r="D11" s="522" t="s">
        <v>389</v>
      </c>
      <c r="E11" s="522">
        <v>10</v>
      </c>
      <c r="F11" s="523">
        <f t="shared" ref="F11:F15" si="0">G11/E11</f>
        <v>7903.2050000000045</v>
      </c>
      <c r="G11" s="523">
        <f>813930-G12-G13-G14-G15-G16</f>
        <v>79032.050000000047</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67" t="s">
        <v>113</v>
      </c>
      <c r="C29" s="1067" t="s">
        <v>168</v>
      </c>
      <c r="D29" s="1067" t="s">
        <v>364</v>
      </c>
      <c r="E29" s="1067" t="s">
        <v>457</v>
      </c>
      <c r="F29" s="1067"/>
      <c r="G29" s="1067"/>
      <c r="H29" s="1067" t="s">
        <v>458</v>
      </c>
      <c r="I29" s="1067"/>
      <c r="J29" s="1067"/>
      <c r="K29" s="1067" t="s">
        <v>459</v>
      </c>
      <c r="L29" s="1067"/>
      <c r="M29" s="1067"/>
      <c r="N29" s="697"/>
    </row>
    <row r="30" spans="2:14">
      <c r="B30" s="1067"/>
      <c r="C30" s="1067"/>
      <c r="D30" s="1067"/>
      <c r="E30" s="1067" t="s">
        <v>343</v>
      </c>
      <c r="F30" s="1067" t="s">
        <v>231</v>
      </c>
      <c r="G30" s="1067" t="s">
        <v>171</v>
      </c>
      <c r="H30" s="1067" t="s">
        <v>343</v>
      </c>
      <c r="I30" s="639" t="s">
        <v>290</v>
      </c>
      <c r="J30" s="1067" t="s">
        <v>171</v>
      </c>
      <c r="K30" s="1067" t="s">
        <v>343</v>
      </c>
      <c r="L30" s="639" t="s">
        <v>290</v>
      </c>
      <c r="M30" s="1067" t="s">
        <v>171</v>
      </c>
      <c r="N30" s="697"/>
    </row>
    <row r="31" spans="2:14">
      <c r="B31" s="1067"/>
      <c r="C31" s="1067"/>
      <c r="D31" s="1067"/>
      <c r="E31" s="1067"/>
      <c r="F31" s="1067"/>
      <c r="G31" s="1067"/>
      <c r="H31" s="1067"/>
      <c r="I31" s="639" t="s">
        <v>358</v>
      </c>
      <c r="J31" s="1067"/>
      <c r="K31" s="1067"/>
      <c r="L31" s="639" t="s">
        <v>358</v>
      </c>
      <c r="M31" s="1067"/>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67" t="s">
        <v>113</v>
      </c>
      <c r="C44" s="1067" t="s">
        <v>168</v>
      </c>
      <c r="D44" s="1067" t="s">
        <v>364</v>
      </c>
      <c r="E44" s="1068" t="s">
        <v>457</v>
      </c>
      <c r="F44" s="1081"/>
      <c r="G44" s="1069"/>
      <c r="H44" s="1068" t="s">
        <v>458</v>
      </c>
      <c r="I44" s="1081"/>
      <c r="J44" s="1069"/>
      <c r="K44" s="1068" t="s">
        <v>459</v>
      </c>
      <c r="L44" s="1081"/>
      <c r="M44" s="1069"/>
      <c r="N44" s="701"/>
    </row>
    <row r="45" spans="2:14" ht="15" customHeight="1">
      <c r="B45" s="1067"/>
      <c r="C45" s="1067"/>
      <c r="D45" s="1067"/>
      <c r="E45" s="1067" t="s">
        <v>343</v>
      </c>
      <c r="F45" s="1067" t="s">
        <v>231</v>
      </c>
      <c r="G45" s="1067" t="s">
        <v>171</v>
      </c>
      <c r="H45" s="1067" t="s">
        <v>343</v>
      </c>
      <c r="I45" s="639" t="s">
        <v>290</v>
      </c>
      <c r="J45" s="1067" t="s">
        <v>171</v>
      </c>
      <c r="K45" s="1067" t="s">
        <v>343</v>
      </c>
      <c r="L45" s="639" t="s">
        <v>290</v>
      </c>
      <c r="M45" s="1067" t="s">
        <v>171</v>
      </c>
      <c r="N45" s="701"/>
    </row>
    <row r="46" spans="2:14">
      <c r="B46" s="1067"/>
      <c r="C46" s="1067"/>
      <c r="D46" s="1067"/>
      <c r="E46" s="1067"/>
      <c r="F46" s="1067"/>
      <c r="G46" s="1067"/>
      <c r="H46" s="1067"/>
      <c r="I46" s="639" t="s">
        <v>358</v>
      </c>
      <c r="J46" s="1067"/>
      <c r="K46" s="1067"/>
      <c r="L46" s="639" t="s">
        <v>358</v>
      </c>
      <c r="M46" s="1067"/>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542590.42999999993</v>
      </c>
      <c r="K55" s="522" t="s">
        <v>18</v>
      </c>
      <c r="L55" s="522" t="s">
        <v>18</v>
      </c>
      <c r="M55" s="664">
        <f>SUM(M47:M54)</f>
        <v>542590.42999999993</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67" t="s">
        <v>113</v>
      </c>
      <c r="C62" s="1067" t="s">
        <v>168</v>
      </c>
      <c r="D62" s="1067" t="s">
        <v>364</v>
      </c>
      <c r="E62" s="1068" t="s">
        <v>457</v>
      </c>
      <c r="F62" s="1081"/>
      <c r="G62" s="1069"/>
      <c r="H62" s="1068" t="s">
        <v>458</v>
      </c>
      <c r="I62" s="1081"/>
      <c r="J62" s="1069"/>
      <c r="K62" s="1068" t="s">
        <v>459</v>
      </c>
      <c r="L62" s="1081"/>
      <c r="M62" s="1069"/>
      <c r="N62" s="462"/>
    </row>
    <row r="63" spans="2:14">
      <c r="B63" s="1067"/>
      <c r="C63" s="1067"/>
      <c r="D63" s="1067"/>
      <c r="E63" s="1067" t="s">
        <v>343</v>
      </c>
      <c r="F63" s="1067" t="s">
        <v>231</v>
      </c>
      <c r="G63" s="1067" t="s">
        <v>171</v>
      </c>
      <c r="H63" s="1067" t="s">
        <v>343</v>
      </c>
      <c r="I63" s="639" t="s">
        <v>290</v>
      </c>
      <c r="J63" s="1067" t="s">
        <v>171</v>
      </c>
      <c r="K63" s="1067" t="s">
        <v>343</v>
      </c>
      <c r="L63" s="639" t="s">
        <v>290</v>
      </c>
      <c r="M63" s="1067" t="s">
        <v>171</v>
      </c>
      <c r="N63" s="462"/>
    </row>
    <row r="64" spans="2:14">
      <c r="B64" s="1067"/>
      <c r="C64" s="1067"/>
      <c r="D64" s="1067"/>
      <c r="E64" s="1067"/>
      <c r="F64" s="1067"/>
      <c r="G64" s="1067"/>
      <c r="H64" s="1067"/>
      <c r="I64" s="639" t="s">
        <v>358</v>
      </c>
      <c r="J64" s="1067"/>
      <c r="K64" s="1067"/>
      <c r="L64" s="639" t="s">
        <v>358</v>
      </c>
      <c r="M64" s="1067"/>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67" t="s">
        <v>113</v>
      </c>
      <c r="C74" s="1067" t="s">
        <v>168</v>
      </c>
      <c r="D74" s="1067" t="s">
        <v>364</v>
      </c>
      <c r="E74" s="1068" t="s">
        <v>457</v>
      </c>
      <c r="F74" s="1081"/>
      <c r="G74" s="1069"/>
      <c r="H74" s="1068" t="s">
        <v>458</v>
      </c>
      <c r="I74" s="1081"/>
      <c r="J74" s="1069"/>
      <c r="K74" s="1068" t="s">
        <v>459</v>
      </c>
      <c r="L74" s="1081"/>
      <c r="M74" s="1069"/>
      <c r="N74" s="701"/>
    </row>
    <row r="75" spans="2:14">
      <c r="B75" s="1067"/>
      <c r="C75" s="1067"/>
      <c r="D75" s="1067"/>
      <c r="E75" s="1067" t="s">
        <v>343</v>
      </c>
      <c r="F75" s="1067" t="s">
        <v>231</v>
      </c>
      <c r="G75" s="1067" t="s">
        <v>171</v>
      </c>
      <c r="H75" s="1067" t="s">
        <v>343</v>
      </c>
      <c r="I75" s="639" t="s">
        <v>290</v>
      </c>
      <c r="J75" s="1067" t="s">
        <v>171</v>
      </c>
      <c r="K75" s="1067" t="s">
        <v>343</v>
      </c>
      <c r="L75" s="639" t="s">
        <v>290</v>
      </c>
      <c r="M75" s="1067" t="s">
        <v>171</v>
      </c>
      <c r="N75" s="701"/>
    </row>
    <row r="76" spans="2:14">
      <c r="B76" s="1067"/>
      <c r="C76" s="1067"/>
      <c r="D76" s="1067"/>
      <c r="E76" s="1067"/>
      <c r="F76" s="1067"/>
      <c r="G76" s="1067"/>
      <c r="H76" s="1067"/>
      <c r="I76" s="639" t="s">
        <v>358</v>
      </c>
      <c r="J76" s="1067"/>
      <c r="K76" s="1067"/>
      <c r="L76" s="639" t="s">
        <v>358</v>
      </c>
      <c r="M76" s="1067"/>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67" t="s">
        <v>113</v>
      </c>
      <c r="C85" s="1067" t="s">
        <v>168</v>
      </c>
      <c r="D85" s="1067" t="s">
        <v>364</v>
      </c>
      <c r="E85" s="1068" t="s">
        <v>457</v>
      </c>
      <c r="F85" s="1081"/>
      <c r="G85" s="1069"/>
      <c r="H85" s="1068" t="s">
        <v>458</v>
      </c>
      <c r="I85" s="1081"/>
      <c r="J85" s="1069"/>
      <c r="K85" s="1068" t="s">
        <v>459</v>
      </c>
      <c r="L85" s="1081"/>
      <c r="M85" s="1069"/>
      <c r="N85" s="462"/>
    </row>
    <row r="86" spans="2:14">
      <c r="B86" s="1067"/>
      <c r="C86" s="1067"/>
      <c r="D86" s="1067"/>
      <c r="E86" s="1067" t="s">
        <v>343</v>
      </c>
      <c r="F86" s="1067" t="s">
        <v>231</v>
      </c>
      <c r="G86" s="1067" t="s">
        <v>171</v>
      </c>
      <c r="H86" s="1067" t="s">
        <v>343</v>
      </c>
      <c r="I86" s="639" t="s">
        <v>290</v>
      </c>
      <c r="J86" s="1067" t="s">
        <v>171</v>
      </c>
      <c r="K86" s="1067" t="s">
        <v>343</v>
      </c>
      <c r="L86" s="639" t="s">
        <v>290</v>
      </c>
      <c r="M86" s="1067" t="s">
        <v>171</v>
      </c>
      <c r="N86" s="462"/>
    </row>
    <row r="87" spans="2:14">
      <c r="B87" s="1067"/>
      <c r="C87" s="1067"/>
      <c r="D87" s="1067"/>
      <c r="E87" s="1067"/>
      <c r="F87" s="1067"/>
      <c r="G87" s="1067"/>
      <c r="H87" s="1067"/>
      <c r="I87" s="639" t="s">
        <v>358</v>
      </c>
      <c r="J87" s="1067"/>
      <c r="K87" s="1067"/>
      <c r="L87" s="639" t="s">
        <v>358</v>
      </c>
      <c r="M87" s="1067"/>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33" t="s">
        <v>113</v>
      </c>
      <c r="C96" s="1135" t="s">
        <v>168</v>
      </c>
      <c r="D96" s="1135" t="s">
        <v>364</v>
      </c>
      <c r="E96" s="1136" t="s">
        <v>457</v>
      </c>
      <c r="F96" s="1137"/>
      <c r="G96" s="1138"/>
      <c r="H96" s="1136" t="s">
        <v>458</v>
      </c>
      <c r="I96" s="1137"/>
      <c r="J96" s="1138"/>
      <c r="K96" s="1136" t="s">
        <v>459</v>
      </c>
      <c r="L96" s="1137"/>
      <c r="M96" s="1139"/>
      <c r="N96" s="462"/>
    </row>
    <row r="97" spans="2:14">
      <c r="B97" s="1134"/>
      <c r="C97" s="1067"/>
      <c r="D97" s="1067"/>
      <c r="E97" s="1067" t="s">
        <v>343</v>
      </c>
      <c r="F97" s="1111" t="s">
        <v>231</v>
      </c>
      <c r="G97" s="1111" t="s">
        <v>171</v>
      </c>
      <c r="H97" s="1111" t="s">
        <v>343</v>
      </c>
      <c r="I97" s="1111" t="s">
        <v>231</v>
      </c>
      <c r="J97" s="1067" t="s">
        <v>171</v>
      </c>
      <c r="K97" s="1067" t="s">
        <v>343</v>
      </c>
      <c r="L97" s="1111" t="s">
        <v>231</v>
      </c>
      <c r="M97" s="1140" t="s">
        <v>171</v>
      </c>
      <c r="N97" s="462"/>
    </row>
    <row r="98" spans="2:14">
      <c r="B98" s="1134"/>
      <c r="C98" s="1067"/>
      <c r="D98" s="1067"/>
      <c r="E98" s="1067"/>
      <c r="F98" s="1111"/>
      <c r="G98" s="1111"/>
      <c r="H98" s="1111"/>
      <c r="I98" s="1111"/>
      <c r="J98" s="1067"/>
      <c r="K98" s="1067"/>
      <c r="L98" s="1111"/>
      <c r="M98" s="1140"/>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44069.990000000005</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94073.989999999991</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341.99999999999994</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67" t="s">
        <v>113</v>
      </c>
      <c r="C205" s="1067" t="s">
        <v>168</v>
      </c>
      <c r="D205" s="1067" t="s">
        <v>364</v>
      </c>
      <c r="E205" s="1067" t="s">
        <v>457</v>
      </c>
      <c r="F205" s="1067"/>
      <c r="G205" s="1067"/>
      <c r="H205" s="1067" t="s">
        <v>458</v>
      </c>
      <c r="I205" s="1067"/>
      <c r="J205" s="1067"/>
      <c r="K205" s="1067" t="s">
        <v>459</v>
      </c>
      <c r="L205" s="1067"/>
      <c r="M205" s="1067"/>
    </row>
    <row r="206" spans="2:14">
      <c r="B206" s="1067"/>
      <c r="C206" s="1067"/>
      <c r="D206" s="1067"/>
      <c r="E206" s="1067" t="s">
        <v>343</v>
      </c>
      <c r="F206" s="1111" t="s">
        <v>231</v>
      </c>
      <c r="G206" s="1111" t="s">
        <v>171</v>
      </c>
      <c r="H206" s="1111" t="s">
        <v>343</v>
      </c>
      <c r="I206" s="639" t="s">
        <v>290</v>
      </c>
      <c r="J206" s="1067" t="s">
        <v>171</v>
      </c>
      <c r="K206" s="1067" t="s">
        <v>343</v>
      </c>
      <c r="L206" s="639" t="s">
        <v>290</v>
      </c>
      <c r="M206" s="1067" t="s">
        <v>171</v>
      </c>
    </row>
    <row r="207" spans="2:14">
      <c r="B207" s="1067"/>
      <c r="C207" s="1067"/>
      <c r="D207" s="1067"/>
      <c r="E207" s="1067"/>
      <c r="F207" s="1111"/>
      <c r="G207" s="1111"/>
      <c r="H207" s="1111"/>
      <c r="I207" s="639" t="s">
        <v>358</v>
      </c>
      <c r="J207" s="1067"/>
      <c r="K207" s="1067"/>
      <c r="L207" s="639" t="s">
        <v>358</v>
      </c>
      <c r="M207" s="1067"/>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80" t="s">
        <v>113</v>
      </c>
      <c r="C219" s="1080" t="s">
        <v>168</v>
      </c>
      <c r="D219" s="1080" t="s">
        <v>364</v>
      </c>
      <c r="E219" s="1067" t="s">
        <v>457</v>
      </c>
      <c r="F219" s="1067"/>
      <c r="G219" s="1067"/>
      <c r="H219" s="1067" t="s">
        <v>458</v>
      </c>
      <c r="I219" s="1067"/>
      <c r="J219" s="1067"/>
      <c r="K219" s="1067" t="s">
        <v>459</v>
      </c>
      <c r="L219" s="1067"/>
      <c r="M219" s="1067"/>
      <c r="N219" s="697"/>
    </row>
    <row r="220" spans="2:17" ht="15" customHeight="1">
      <c r="B220" s="1117"/>
      <c r="C220" s="1117"/>
      <c r="D220" s="1117"/>
      <c r="E220" s="1080" t="s">
        <v>343</v>
      </c>
      <c r="F220" s="1080" t="s">
        <v>231</v>
      </c>
      <c r="G220" s="1080" t="s">
        <v>171</v>
      </c>
      <c r="H220" s="1080" t="s">
        <v>343</v>
      </c>
      <c r="I220" s="639" t="s">
        <v>290</v>
      </c>
      <c r="J220" s="1080" t="s">
        <v>171</v>
      </c>
      <c r="K220" s="1080" t="s">
        <v>343</v>
      </c>
      <c r="L220" s="639" t="s">
        <v>290</v>
      </c>
      <c r="M220" s="1080" t="s">
        <v>171</v>
      </c>
      <c r="N220" s="697"/>
    </row>
    <row r="221" spans="2:17" s="462" customFormat="1">
      <c r="B221" s="1116"/>
      <c r="C221" s="1116"/>
      <c r="D221" s="1116"/>
      <c r="E221" s="1116"/>
      <c r="F221" s="1116"/>
      <c r="G221" s="1116"/>
      <c r="H221" s="1116"/>
      <c r="I221" s="639" t="s">
        <v>358</v>
      </c>
      <c r="J221" s="1116"/>
      <c r="K221" s="1116"/>
      <c r="L221" s="639" t="s">
        <v>358</v>
      </c>
      <c r="M221" s="1116"/>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840</v>
      </c>
    </row>
    <row r="12" spans="1:14" ht="40.5" customHeight="1">
      <c r="A12" s="1146" t="s">
        <v>113</v>
      </c>
      <c r="B12" s="1146" t="s">
        <v>168</v>
      </c>
      <c r="C12" s="1146" t="s">
        <v>841</v>
      </c>
      <c r="D12" s="1146"/>
      <c r="E12" s="1146"/>
      <c r="F12" s="1146"/>
      <c r="G12" s="1146" t="s">
        <v>842</v>
      </c>
      <c r="H12" s="1146"/>
      <c r="I12" s="1146"/>
      <c r="J12" s="1146"/>
      <c r="K12" s="1146" t="s">
        <v>843</v>
      </c>
      <c r="L12" s="1146"/>
      <c r="M12" s="1146"/>
      <c r="N12" s="1146"/>
    </row>
    <row r="13" spans="1:14" ht="63.75">
      <c r="A13" s="1146"/>
      <c r="B13" s="1146"/>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844</v>
      </c>
      <c r="C14" s="801" t="s">
        <v>845</v>
      </c>
      <c r="D14" s="802">
        <v>22</v>
      </c>
      <c r="E14" s="803">
        <v>21</v>
      </c>
      <c r="F14" s="804">
        <f t="shared" ref="F14:F18" si="0">C14*D14*E14</f>
        <v>231000</v>
      </c>
      <c r="G14" s="801" t="s">
        <v>845</v>
      </c>
      <c r="H14" s="802">
        <v>15</v>
      </c>
      <c r="I14" s="803">
        <v>8</v>
      </c>
      <c r="J14" s="805">
        <f>G14*H14*I14</f>
        <v>60000</v>
      </c>
      <c r="K14" s="801" t="s">
        <v>845</v>
      </c>
      <c r="L14" s="802">
        <v>15</v>
      </c>
      <c r="M14" s="803">
        <v>8</v>
      </c>
      <c r="N14" s="805">
        <f>K14*L14*M14</f>
        <v>60000</v>
      </c>
    </row>
    <row r="15" spans="1:14" ht="25.5">
      <c r="A15" s="799">
        <f>A14+1</f>
        <v>2</v>
      </c>
      <c r="B15" s="800" t="s">
        <v>844</v>
      </c>
      <c r="C15" s="801" t="s">
        <v>845</v>
      </c>
      <c r="D15" s="802">
        <v>2</v>
      </c>
      <c r="E15" s="803">
        <v>10</v>
      </c>
      <c r="F15" s="804">
        <f t="shared" si="0"/>
        <v>10000</v>
      </c>
      <c r="G15" s="801" t="s">
        <v>846</v>
      </c>
      <c r="H15" s="802">
        <v>0</v>
      </c>
      <c r="I15" s="806">
        <v>0</v>
      </c>
      <c r="J15" s="805">
        <v>0</v>
      </c>
      <c r="K15" s="801" t="s">
        <v>846</v>
      </c>
      <c r="L15" s="802">
        <v>0</v>
      </c>
      <c r="M15" s="806">
        <v>0</v>
      </c>
      <c r="N15" s="805">
        <v>0</v>
      </c>
    </row>
    <row r="16" spans="1:14" ht="25.5">
      <c r="A16" s="799">
        <v>3</v>
      </c>
      <c r="B16" s="800" t="s">
        <v>847</v>
      </c>
      <c r="C16" s="801" t="s">
        <v>848</v>
      </c>
      <c r="D16" s="802">
        <v>1</v>
      </c>
      <c r="E16" s="803">
        <v>1</v>
      </c>
      <c r="F16" s="804">
        <f t="shared" si="0"/>
        <v>300</v>
      </c>
      <c r="G16" s="801" t="s">
        <v>846</v>
      </c>
      <c r="H16" s="802">
        <v>0</v>
      </c>
      <c r="I16" s="806">
        <v>0</v>
      </c>
      <c r="J16" s="805">
        <v>0</v>
      </c>
      <c r="K16" s="801" t="s">
        <v>846</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849</v>
      </c>
    </row>
    <row r="24" spans="1:14">
      <c r="A24" s="796" t="s">
        <v>850</v>
      </c>
    </row>
    <row r="25" spans="1:14">
      <c r="A25" s="1108" t="s">
        <v>113</v>
      </c>
      <c r="B25" s="1108" t="s">
        <v>168</v>
      </c>
      <c r="C25" s="1108" t="s">
        <v>841</v>
      </c>
      <c r="D25" s="1108"/>
      <c r="E25" s="1108"/>
      <c r="F25" s="1108"/>
      <c r="G25" s="1108" t="s">
        <v>842</v>
      </c>
      <c r="H25" s="1108"/>
      <c r="I25" s="1108"/>
      <c r="J25" s="1108"/>
      <c r="K25" s="1108" t="s">
        <v>843</v>
      </c>
      <c r="L25" s="1108"/>
      <c r="M25" s="1108"/>
      <c r="N25" s="1108"/>
    </row>
    <row r="26" spans="1:14">
      <c r="A26" s="1108"/>
      <c r="B26" s="1108"/>
      <c r="C26" s="1108" t="s">
        <v>169</v>
      </c>
      <c r="D26" s="792" t="s">
        <v>851</v>
      </c>
      <c r="E26" s="1108" t="s">
        <v>852</v>
      </c>
      <c r="F26" s="1108" t="s">
        <v>171</v>
      </c>
      <c r="G26" s="1108" t="s">
        <v>169</v>
      </c>
      <c r="H26" s="792" t="s">
        <v>851</v>
      </c>
      <c r="I26" s="1108" t="s">
        <v>852</v>
      </c>
      <c r="J26" s="1108" t="s">
        <v>171</v>
      </c>
      <c r="K26" s="1108" t="s">
        <v>169</v>
      </c>
      <c r="L26" s="792" t="s">
        <v>851</v>
      </c>
      <c r="M26" s="1108" t="s">
        <v>852</v>
      </c>
      <c r="N26" s="1108" t="s">
        <v>171</v>
      </c>
    </row>
    <row r="27" spans="1:14" ht="25.5">
      <c r="A27" s="1108"/>
      <c r="B27" s="1108"/>
      <c r="C27" s="1108"/>
      <c r="D27" s="792" t="s">
        <v>853</v>
      </c>
      <c r="E27" s="1108"/>
      <c r="F27" s="1108"/>
      <c r="G27" s="1108"/>
      <c r="H27" s="792" t="s">
        <v>853</v>
      </c>
      <c r="I27" s="1108"/>
      <c r="J27" s="1108"/>
      <c r="K27" s="1108"/>
      <c r="L27" s="792" t="s">
        <v>853</v>
      </c>
      <c r="M27" s="1108"/>
      <c r="N27" s="1108"/>
    </row>
    <row r="28" spans="1:14" ht="51">
      <c r="A28" s="792">
        <v>1</v>
      </c>
      <c r="B28" s="227" t="s">
        <v>854</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854</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855</v>
      </c>
    </row>
    <row r="36" spans="1:14">
      <c r="A36" s="796" t="s">
        <v>850</v>
      </c>
    </row>
    <row r="37" spans="1:14">
      <c r="A37" s="1108" t="s">
        <v>113</v>
      </c>
      <c r="B37" s="1108" t="s">
        <v>168</v>
      </c>
      <c r="C37" s="1108" t="s">
        <v>841</v>
      </c>
      <c r="D37" s="1108"/>
      <c r="E37" s="1108"/>
      <c r="F37" s="1108"/>
      <c r="G37" s="1108" t="s">
        <v>842</v>
      </c>
      <c r="H37" s="1108"/>
      <c r="I37" s="1108"/>
      <c r="J37" s="1108"/>
      <c r="K37" s="1108" t="s">
        <v>843</v>
      </c>
      <c r="L37" s="1108"/>
      <c r="M37" s="1108"/>
      <c r="N37" s="1108"/>
    </row>
    <row r="38" spans="1:14">
      <c r="A38" s="1108"/>
      <c r="B38" s="1108"/>
      <c r="C38" s="1108" t="s">
        <v>169</v>
      </c>
      <c r="D38" s="792" t="s">
        <v>851</v>
      </c>
      <c r="E38" s="1108" t="s">
        <v>852</v>
      </c>
      <c r="F38" s="1108" t="s">
        <v>171</v>
      </c>
      <c r="G38" s="1108" t="s">
        <v>169</v>
      </c>
      <c r="H38" s="792" t="s">
        <v>851</v>
      </c>
      <c r="I38" s="1108" t="s">
        <v>852</v>
      </c>
      <c r="J38" s="1108" t="s">
        <v>171</v>
      </c>
      <c r="K38" s="1108" t="s">
        <v>169</v>
      </c>
      <c r="L38" s="792" t="s">
        <v>851</v>
      </c>
      <c r="M38" s="1108" t="s">
        <v>852</v>
      </c>
      <c r="N38" s="1108" t="s">
        <v>171</v>
      </c>
    </row>
    <row r="39" spans="1:14" ht="25.5">
      <c r="A39" s="1108"/>
      <c r="B39" s="1108"/>
      <c r="C39" s="1108"/>
      <c r="D39" s="792" t="s">
        <v>853</v>
      </c>
      <c r="E39" s="1108"/>
      <c r="F39" s="1108"/>
      <c r="G39" s="1108"/>
      <c r="H39" s="792" t="s">
        <v>853</v>
      </c>
      <c r="I39" s="1108"/>
      <c r="J39" s="1108"/>
      <c r="K39" s="1108"/>
      <c r="L39" s="792" t="s">
        <v>853</v>
      </c>
      <c r="M39" s="1108"/>
      <c r="N39" s="1108"/>
    </row>
    <row r="40" spans="1:14" ht="51">
      <c r="A40" s="792">
        <v>1</v>
      </c>
      <c r="B40" s="227" t="s">
        <v>854</v>
      </c>
      <c r="C40" s="226">
        <v>3243.68</v>
      </c>
      <c r="D40" s="792">
        <v>3</v>
      </c>
      <c r="E40" s="792">
        <v>3</v>
      </c>
      <c r="F40" s="226">
        <f>C40*D40*E40</f>
        <v>29193.119999999995</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29193.119999999995</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856</v>
      </c>
    </row>
    <row r="49" spans="1:14">
      <c r="A49" s="796" t="s">
        <v>165</v>
      </c>
    </row>
    <row r="50" spans="1:14">
      <c r="A50" s="796" t="s">
        <v>857</v>
      </c>
    </row>
    <row r="51" spans="1:14">
      <c r="A51" s="796" t="s">
        <v>850</v>
      </c>
    </row>
    <row r="52" spans="1:14">
      <c r="A52" s="1108" t="s">
        <v>113</v>
      </c>
      <c r="B52" s="1108" t="s">
        <v>168</v>
      </c>
      <c r="C52" s="1108" t="s">
        <v>841</v>
      </c>
      <c r="D52" s="1108"/>
      <c r="E52" s="1108"/>
      <c r="F52" s="1108"/>
      <c r="G52" s="1108" t="s">
        <v>842</v>
      </c>
      <c r="H52" s="1108"/>
      <c r="I52" s="1108"/>
      <c r="J52" s="1108"/>
      <c r="K52" s="1108" t="s">
        <v>843</v>
      </c>
      <c r="L52" s="1108"/>
      <c r="M52" s="1108"/>
      <c r="N52" s="1108"/>
    </row>
    <row r="53" spans="1:14">
      <c r="A53" s="1108"/>
      <c r="B53" s="1108"/>
      <c r="C53" s="1108" t="s">
        <v>169</v>
      </c>
      <c r="D53" s="792" t="s">
        <v>851</v>
      </c>
      <c r="E53" s="1108" t="s">
        <v>852</v>
      </c>
      <c r="F53" s="1108" t="s">
        <v>171</v>
      </c>
      <c r="G53" s="1108" t="s">
        <v>169</v>
      </c>
      <c r="H53" s="792" t="s">
        <v>851</v>
      </c>
      <c r="I53" s="1108" t="s">
        <v>852</v>
      </c>
      <c r="J53" s="1108" t="s">
        <v>171</v>
      </c>
      <c r="K53" s="1108" t="s">
        <v>169</v>
      </c>
      <c r="L53" s="792" t="s">
        <v>851</v>
      </c>
      <c r="M53" s="1108" t="s">
        <v>852</v>
      </c>
      <c r="N53" s="1108" t="s">
        <v>171</v>
      </c>
    </row>
    <row r="54" spans="1:14" ht="25.5">
      <c r="A54" s="1108"/>
      <c r="B54" s="1108"/>
      <c r="C54" s="1108"/>
      <c r="D54" s="792" t="s">
        <v>853</v>
      </c>
      <c r="E54" s="1108"/>
      <c r="F54" s="1108"/>
      <c r="G54" s="1108"/>
      <c r="H54" s="792" t="s">
        <v>853</v>
      </c>
      <c r="I54" s="1108"/>
      <c r="J54" s="1108"/>
      <c r="K54" s="1108"/>
      <c r="L54" s="792" t="s">
        <v>853</v>
      </c>
      <c r="M54" s="1108"/>
      <c r="N54" s="1108"/>
    </row>
    <row r="55" spans="1:14" ht="51">
      <c r="A55" s="792">
        <v>1</v>
      </c>
      <c r="B55" s="227" t="s">
        <v>854</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854</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858</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849</v>
      </c>
    </row>
    <row r="64" spans="1:14">
      <c r="A64" s="796" t="s">
        <v>859</v>
      </c>
    </row>
    <row r="65" spans="1:14">
      <c r="A65" s="1108" t="s">
        <v>113</v>
      </c>
      <c r="B65" s="1108" t="s">
        <v>168</v>
      </c>
      <c r="C65" s="1108" t="s">
        <v>841</v>
      </c>
      <c r="D65" s="1108"/>
      <c r="E65" s="1108"/>
      <c r="F65" s="1108"/>
      <c r="G65" s="1108" t="s">
        <v>842</v>
      </c>
      <c r="H65" s="1108"/>
      <c r="I65" s="1108"/>
      <c r="J65" s="1108"/>
      <c r="K65" s="1108" t="s">
        <v>843</v>
      </c>
      <c r="L65" s="1108"/>
      <c r="M65" s="1108"/>
      <c r="N65" s="1108"/>
    </row>
    <row r="66" spans="1:14">
      <c r="A66" s="1108"/>
      <c r="B66" s="1108"/>
      <c r="C66" s="1108" t="s">
        <v>169</v>
      </c>
      <c r="D66" s="792" t="s">
        <v>851</v>
      </c>
      <c r="E66" s="1108" t="s">
        <v>852</v>
      </c>
      <c r="F66" s="1108" t="s">
        <v>171</v>
      </c>
      <c r="G66" s="1108" t="s">
        <v>169</v>
      </c>
      <c r="H66" s="792" t="s">
        <v>851</v>
      </c>
      <c r="I66" s="1108" t="s">
        <v>852</v>
      </c>
      <c r="J66" s="1108" t="s">
        <v>171</v>
      </c>
      <c r="K66" s="1108" t="s">
        <v>169</v>
      </c>
      <c r="L66" s="792" t="s">
        <v>851</v>
      </c>
      <c r="M66" s="1108" t="s">
        <v>852</v>
      </c>
      <c r="N66" s="1108" t="s">
        <v>171</v>
      </c>
    </row>
    <row r="67" spans="1:14" ht="25.5">
      <c r="A67" s="1108"/>
      <c r="B67" s="1108"/>
      <c r="C67" s="1108"/>
      <c r="D67" s="792" t="s">
        <v>853</v>
      </c>
      <c r="E67" s="1108"/>
      <c r="F67" s="1108"/>
      <c r="G67" s="1108"/>
      <c r="H67" s="792" t="s">
        <v>853</v>
      </c>
      <c r="I67" s="1108"/>
      <c r="J67" s="1108"/>
      <c r="K67" s="1108"/>
      <c r="L67" s="792" t="s">
        <v>853</v>
      </c>
      <c r="M67" s="1108"/>
      <c r="N67" s="1108"/>
    </row>
    <row r="68" spans="1:14" ht="51">
      <c r="A68" s="792">
        <v>1</v>
      </c>
      <c r="B68" s="227" t="s">
        <v>860</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861</v>
      </c>
    </row>
    <row r="73" spans="1:14">
      <c r="A73" s="796" t="s">
        <v>163</v>
      </c>
    </row>
    <row r="74" spans="1:14">
      <c r="A74" s="796" t="s">
        <v>862</v>
      </c>
    </row>
    <row r="75" spans="1:14">
      <c r="A75" s="796" t="s">
        <v>863</v>
      </c>
    </row>
    <row r="77" spans="1:14">
      <c r="A77" s="1141" t="s">
        <v>113</v>
      </c>
      <c r="B77" s="1141" t="s">
        <v>168</v>
      </c>
      <c r="C77" s="1143" t="s">
        <v>864</v>
      </c>
      <c r="D77" s="1144"/>
      <c r="E77" s="1144"/>
      <c r="F77" s="1145"/>
      <c r="G77" s="1143" t="s">
        <v>865</v>
      </c>
      <c r="H77" s="1144"/>
      <c r="I77" s="1144"/>
      <c r="J77" s="1145"/>
      <c r="K77" s="1143" t="s">
        <v>866</v>
      </c>
      <c r="L77" s="1144"/>
      <c r="M77" s="1144"/>
      <c r="N77" s="1145"/>
    </row>
    <row r="78" spans="1:14" ht="63.75">
      <c r="A78" s="1142"/>
      <c r="B78" s="1142"/>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867</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838</v>
      </c>
    </row>
    <row r="84" spans="1:1">
      <c r="A84" s="796" t="s">
        <v>837</v>
      </c>
    </row>
    <row r="85" spans="1:1">
      <c r="A85" s="796" t="s">
        <v>839</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62659608.639999993</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77" activePane="bottomRight" state="frozen"/>
      <selection pane="topRight" activeCell="F1" sqref="F1"/>
      <selection pane="bottomLeft" activeCell="A4" sqref="A4"/>
      <selection pane="bottomRight" activeCell="E92" sqref="E92:E102"/>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00" t="s">
        <v>871</v>
      </c>
      <c r="B1" s="900"/>
      <c r="C1" s="900"/>
      <c r="D1" s="900"/>
      <c r="E1" s="900"/>
      <c r="F1" s="900"/>
      <c r="G1" s="900"/>
      <c r="H1" s="900"/>
      <c r="I1" s="900"/>
      <c r="J1" s="900"/>
      <c r="K1" s="900"/>
      <c r="L1" s="900"/>
      <c r="M1" s="900"/>
      <c r="N1" s="900"/>
      <c r="O1" s="900"/>
      <c r="P1" s="900"/>
      <c r="Q1" s="900"/>
      <c r="R1" s="900"/>
      <c r="S1" s="900"/>
      <c r="T1" s="900"/>
      <c r="U1" s="900"/>
      <c r="V1" s="900"/>
      <c r="W1" s="900"/>
      <c r="X1" s="900"/>
      <c r="Y1" s="900"/>
      <c r="Z1" s="900"/>
      <c r="AA1" s="900"/>
      <c r="AB1" s="900"/>
    </row>
    <row r="2" spans="1:31" ht="30.75" customHeight="1">
      <c r="A2" s="901" t="s">
        <v>2</v>
      </c>
      <c r="B2" s="901" t="s">
        <v>3</v>
      </c>
      <c r="C2" s="901" t="s">
        <v>4</v>
      </c>
      <c r="D2" s="901" t="s">
        <v>5</v>
      </c>
      <c r="E2" s="901" t="s">
        <v>6</v>
      </c>
      <c r="F2" s="901"/>
      <c r="G2" s="901"/>
      <c r="H2" s="901"/>
      <c r="I2" s="901"/>
      <c r="J2" s="901"/>
      <c r="K2" s="901"/>
      <c r="L2" s="901"/>
      <c r="M2" s="901"/>
      <c r="N2" s="901"/>
      <c r="O2" s="901"/>
      <c r="P2" s="901"/>
      <c r="Q2" s="901"/>
      <c r="R2" s="901"/>
      <c r="S2" s="901"/>
      <c r="T2" s="901"/>
      <c r="U2" s="901"/>
      <c r="V2" s="901"/>
      <c r="W2" s="901"/>
      <c r="X2" s="901"/>
      <c r="Y2" s="901"/>
      <c r="Z2" s="901"/>
      <c r="AA2" s="901"/>
      <c r="AB2" s="901"/>
      <c r="AC2" s="823"/>
    </row>
    <row r="3" spans="1:31" s="93" customFormat="1" ht="81" customHeight="1">
      <c r="A3" s="901"/>
      <c r="B3" s="901"/>
      <c r="C3" s="901"/>
      <c r="D3" s="901"/>
      <c r="E3" s="907" t="s">
        <v>979</v>
      </c>
      <c r="F3" s="909" t="s">
        <v>546</v>
      </c>
      <c r="G3" s="910"/>
      <c r="H3" s="911"/>
      <c r="I3" s="914" t="s">
        <v>547</v>
      </c>
      <c r="J3" s="915"/>
      <c r="K3" s="916"/>
      <c r="L3" s="783"/>
      <c r="M3" s="783"/>
      <c r="N3" s="783"/>
      <c r="O3" s="783"/>
      <c r="P3" s="783"/>
      <c r="Q3" s="783"/>
      <c r="R3" s="783"/>
      <c r="S3" s="783"/>
      <c r="T3" s="907" t="s">
        <v>980</v>
      </c>
      <c r="U3" s="781"/>
      <c r="V3" s="781"/>
      <c r="W3" s="781"/>
      <c r="X3" s="907" t="s">
        <v>981</v>
      </c>
      <c r="Y3" s="379"/>
      <c r="Z3" s="379"/>
      <c r="AA3" s="379"/>
      <c r="AB3" s="917" t="s">
        <v>7</v>
      </c>
      <c r="AC3" s="823"/>
    </row>
    <row r="4" spans="1:31">
      <c r="A4" s="901"/>
      <c r="B4" s="901"/>
      <c r="C4" s="901"/>
      <c r="D4" s="901"/>
      <c r="E4" s="908"/>
      <c r="F4" s="465" t="s">
        <v>545</v>
      </c>
      <c r="G4" s="465" t="s">
        <v>543</v>
      </c>
      <c r="H4" s="465" t="s">
        <v>544</v>
      </c>
      <c r="I4" s="466" t="s">
        <v>545</v>
      </c>
      <c r="J4" s="466" t="s">
        <v>543</v>
      </c>
      <c r="K4" s="466" t="s">
        <v>544</v>
      </c>
      <c r="L4" s="466"/>
      <c r="M4" s="466"/>
      <c r="N4" s="466"/>
      <c r="O4" s="466"/>
      <c r="P4" s="466"/>
      <c r="Q4" s="466"/>
      <c r="R4" s="466"/>
      <c r="S4" s="466"/>
      <c r="T4" s="908"/>
      <c r="U4" s="782">
        <v>2</v>
      </c>
      <c r="V4" s="782">
        <v>4</v>
      </c>
      <c r="W4" s="782">
        <v>5</v>
      </c>
      <c r="X4" s="908"/>
      <c r="Y4" s="307">
        <v>2</v>
      </c>
      <c r="Z4" s="307">
        <v>4</v>
      </c>
      <c r="AA4" s="307">
        <v>5</v>
      </c>
      <c r="AB4" s="918"/>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902" t="s">
        <v>16</v>
      </c>
      <c r="B6" s="903" t="s">
        <v>17</v>
      </c>
      <c r="C6" s="901" t="s">
        <v>18</v>
      </c>
      <c r="D6" s="901" t="s">
        <v>18</v>
      </c>
      <c r="E6" s="904">
        <f>7034412.45+1078285.84</f>
        <v>8112698.29</v>
      </c>
      <c r="F6" s="912">
        <f>G6+H6</f>
        <v>1532575.99</v>
      </c>
      <c r="G6" s="912">
        <f>890702+268992.51</f>
        <v>1159694.51</v>
      </c>
      <c r="H6" s="912">
        <v>372881.48</v>
      </c>
      <c r="I6" s="876"/>
      <c r="J6" s="876"/>
      <c r="K6" s="876"/>
      <c r="L6" s="876"/>
      <c r="M6" s="876"/>
      <c r="N6" s="876"/>
      <c r="O6" s="876"/>
      <c r="P6" s="876"/>
      <c r="Q6" s="876"/>
      <c r="R6" s="876"/>
      <c r="S6" s="876"/>
      <c r="T6" s="905" t="s">
        <v>43</v>
      </c>
      <c r="U6" s="877"/>
      <c r="V6" s="877"/>
      <c r="W6" s="877"/>
      <c r="X6" s="905" t="s">
        <v>43</v>
      </c>
      <c r="Y6" s="878"/>
      <c r="Z6" s="878"/>
      <c r="AA6" s="878"/>
      <c r="AB6" s="906" t="s">
        <v>43</v>
      </c>
      <c r="AC6" s="823"/>
    </row>
    <row r="7" spans="1:31">
      <c r="A7" s="902"/>
      <c r="B7" s="903"/>
      <c r="C7" s="901"/>
      <c r="D7" s="901"/>
      <c r="E7" s="904"/>
      <c r="F7" s="913"/>
      <c r="G7" s="913"/>
      <c r="H7" s="913"/>
      <c r="I7" s="879"/>
      <c r="J7" s="879"/>
      <c r="K7" s="879"/>
      <c r="L7" s="879"/>
      <c r="M7" s="879"/>
      <c r="N7" s="879"/>
      <c r="O7" s="879"/>
      <c r="P7" s="879"/>
      <c r="Q7" s="879"/>
      <c r="R7" s="879"/>
      <c r="S7" s="879"/>
      <c r="T7" s="905"/>
      <c r="U7" s="877"/>
      <c r="V7" s="877"/>
      <c r="W7" s="877"/>
      <c r="X7" s="905"/>
      <c r="Y7" s="878"/>
      <c r="Z7" s="878"/>
      <c r="AA7" s="878"/>
      <c r="AB7" s="906"/>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124284306.38</v>
      </c>
      <c r="F11" s="438"/>
      <c r="G11" s="438"/>
      <c r="H11" s="438"/>
      <c r="I11" s="438"/>
      <c r="J11" s="438"/>
      <c r="K11" s="438"/>
      <c r="L11" s="438"/>
      <c r="M11" s="438"/>
      <c r="N11" s="438"/>
      <c r="O11" s="438"/>
      <c r="P11" s="438"/>
      <c r="Q11" s="438"/>
      <c r="R11" s="438"/>
      <c r="S11" s="438"/>
      <c r="T11" s="298">
        <f>T15+T22+T26</f>
        <v>124940887.98</v>
      </c>
      <c r="U11" s="13">
        <f>U15</f>
        <v>0</v>
      </c>
      <c r="V11" s="13" t="str">
        <f>V15</f>
        <v>2021 год</v>
      </c>
      <c r="W11" s="13">
        <v>4800</v>
      </c>
      <c r="X11" s="298">
        <f>X15+X22+X26</f>
        <v>124156356.68000001</v>
      </c>
      <c r="Y11" s="13">
        <f>Y15</f>
        <v>12701250</v>
      </c>
      <c r="Z11" s="13">
        <f>Z15</f>
        <v>46636352.270000003</v>
      </c>
      <c r="AA11" s="13">
        <f>AA25</f>
        <v>7200</v>
      </c>
      <c r="AB11" s="299" t="s">
        <v>43</v>
      </c>
      <c r="AC11" s="824">
        <f>E11+E6+E107</f>
        <v>132147004.67</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895</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896</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902" t="s">
        <v>897</v>
      </c>
      <c r="B15" s="901">
        <v>1200</v>
      </c>
      <c r="C15" s="901">
        <v>130</v>
      </c>
      <c r="D15" s="901" t="s">
        <v>18</v>
      </c>
      <c r="E15" s="924">
        <f>E17+E18</f>
        <v>124284306.38</v>
      </c>
      <c r="F15" s="880"/>
      <c r="G15" s="880"/>
      <c r="H15" s="880"/>
      <c r="I15" s="880"/>
      <c r="J15" s="880"/>
      <c r="K15" s="880"/>
      <c r="L15" s="880"/>
      <c r="M15" s="880"/>
      <c r="N15" s="880"/>
      <c r="O15" s="880"/>
      <c r="P15" s="880"/>
      <c r="Q15" s="880"/>
      <c r="R15" s="880"/>
      <c r="S15" s="880"/>
      <c r="T15" s="926">
        <f>T17+T18</f>
        <v>124940887.98</v>
      </c>
      <c r="U15" s="927"/>
      <c r="V15" s="927" t="str">
        <f>[1]Лист12!G299</f>
        <v>2021 год</v>
      </c>
      <c r="W15" s="927"/>
      <c r="X15" s="926">
        <f>X17+X18</f>
        <v>124156356.68000001</v>
      </c>
      <c r="Y15" s="919">
        <f>[1]Лист12!H302</f>
        <v>12701250</v>
      </c>
      <c r="Z15" s="919">
        <f>[1]Лист12!H301</f>
        <v>46636352.270000003</v>
      </c>
      <c r="AA15" s="919"/>
      <c r="AB15" s="920" t="s">
        <v>43</v>
      </c>
      <c r="AC15" s="823"/>
    </row>
    <row r="16" spans="1:31" ht="30" customHeight="1">
      <c r="A16" s="902"/>
      <c r="B16" s="901"/>
      <c r="C16" s="901"/>
      <c r="D16" s="901"/>
      <c r="E16" s="925">
        <v>62012159.640000001</v>
      </c>
      <c r="F16" s="880"/>
      <c r="G16" s="880"/>
      <c r="H16" s="880"/>
      <c r="I16" s="880"/>
      <c r="J16" s="880"/>
      <c r="K16" s="880"/>
      <c r="L16" s="880"/>
      <c r="M16" s="880"/>
      <c r="N16" s="880"/>
      <c r="O16" s="880"/>
      <c r="P16" s="880"/>
      <c r="Q16" s="880"/>
      <c r="R16" s="880"/>
      <c r="S16" s="880"/>
      <c r="T16" s="926">
        <f t="shared" ref="T16" si="0">42206072.04+11490000</f>
        <v>53696072.039999999</v>
      </c>
      <c r="U16" s="927"/>
      <c r="V16" s="927">
        <f>[1]Лист12!G300</f>
        <v>4800</v>
      </c>
      <c r="W16" s="927"/>
      <c r="X16" s="926">
        <f t="shared" ref="X16" si="1">42206072.04+11490000</f>
        <v>53696072.039999999</v>
      </c>
      <c r="Y16" s="919"/>
      <c r="Z16" s="919"/>
      <c r="AA16" s="919"/>
      <c r="AB16" s="920"/>
      <c r="AC16" s="824"/>
      <c r="AE16" s="15"/>
    </row>
    <row r="17" spans="1:29" ht="69.75" customHeight="1">
      <c r="A17" s="291" t="s">
        <v>898</v>
      </c>
      <c r="B17" s="289">
        <v>1210</v>
      </c>
      <c r="C17" s="289">
        <v>130</v>
      </c>
      <c r="D17" s="293" t="s">
        <v>18</v>
      </c>
      <c r="E17" s="881">
        <v>106228706.38</v>
      </c>
      <c r="F17" s="880">
        <v>0</v>
      </c>
      <c r="G17" s="880">
        <v>107554082.55</v>
      </c>
      <c r="H17" s="880">
        <v>107632592.55</v>
      </c>
      <c r="I17" s="880">
        <v>106875980.52</v>
      </c>
      <c r="J17" s="880">
        <v>0</v>
      </c>
      <c r="K17" s="880">
        <v>107554082.55</v>
      </c>
      <c r="L17" s="880">
        <v>107632592.55</v>
      </c>
      <c r="M17" s="880">
        <v>106875980.52</v>
      </c>
      <c r="N17" s="880">
        <v>0</v>
      </c>
      <c r="O17" s="880">
        <v>107554082.55</v>
      </c>
      <c r="P17" s="880">
        <v>107632592.55</v>
      </c>
      <c r="Q17" s="880">
        <v>106875980.52</v>
      </c>
      <c r="R17" s="880">
        <v>0</v>
      </c>
      <c r="S17" s="880">
        <v>107554082.55</v>
      </c>
      <c r="T17" s="881">
        <v>106755287.98</v>
      </c>
      <c r="U17" s="882">
        <v>106875980.52</v>
      </c>
      <c r="V17" s="882">
        <v>0</v>
      </c>
      <c r="W17" s="882">
        <v>107554082.55</v>
      </c>
      <c r="X17" s="881">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881">
        <f>17805600+250000</f>
        <v>18055600</v>
      </c>
      <c r="F18" s="880"/>
      <c r="G18" s="880">
        <v>14450600</v>
      </c>
      <c r="H18" s="880">
        <v>14820600</v>
      </c>
      <c r="I18" s="880">
        <v>14820600</v>
      </c>
      <c r="J18" s="880"/>
      <c r="K18" s="880">
        <v>14450600</v>
      </c>
      <c r="L18" s="880">
        <v>14820600</v>
      </c>
      <c r="M18" s="880">
        <v>14820600</v>
      </c>
      <c r="N18" s="880"/>
      <c r="O18" s="880">
        <v>14450600</v>
      </c>
      <c r="P18" s="880">
        <v>14820600</v>
      </c>
      <c r="Q18" s="880">
        <v>14820600</v>
      </c>
      <c r="R18" s="880"/>
      <c r="S18" s="880">
        <v>14450600</v>
      </c>
      <c r="T18" s="881">
        <v>18185600</v>
      </c>
      <c r="U18" s="882">
        <v>14820600</v>
      </c>
      <c r="V18" s="882"/>
      <c r="W18" s="882">
        <v>14450600</v>
      </c>
      <c r="X18" s="881">
        <v>17805600</v>
      </c>
      <c r="Y18" s="731"/>
      <c r="Z18" s="731"/>
      <c r="AA18" s="731"/>
      <c r="AB18" s="728" t="s">
        <v>43</v>
      </c>
      <c r="AC18" s="824"/>
    </row>
    <row r="19" spans="1:29" ht="29.25" customHeight="1">
      <c r="A19" s="291" t="s">
        <v>899</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902" t="s">
        <v>896</v>
      </c>
      <c r="B20" s="901">
        <v>1310</v>
      </c>
      <c r="C20" s="901">
        <v>140</v>
      </c>
      <c r="D20" s="901" t="s">
        <v>18</v>
      </c>
      <c r="E20" s="921" t="s">
        <v>18</v>
      </c>
      <c r="F20" s="470"/>
      <c r="G20" s="470"/>
      <c r="H20" s="470"/>
      <c r="I20" s="470"/>
      <c r="J20" s="470"/>
      <c r="K20" s="470"/>
      <c r="L20" s="470"/>
      <c r="M20" s="470"/>
      <c r="N20" s="470"/>
      <c r="O20" s="470"/>
      <c r="P20" s="470"/>
      <c r="Q20" s="470"/>
      <c r="R20" s="470"/>
      <c r="S20" s="470"/>
      <c r="T20" s="923" t="s">
        <v>18</v>
      </c>
      <c r="U20" s="294"/>
      <c r="V20" s="294"/>
      <c r="W20" s="294"/>
      <c r="X20" s="923" t="s">
        <v>18</v>
      </c>
      <c r="Y20" s="294"/>
      <c r="Z20" s="294"/>
      <c r="AA20" s="294"/>
      <c r="AB20" s="920" t="s">
        <v>18</v>
      </c>
      <c r="AC20" s="823"/>
    </row>
    <row r="21" spans="1:29">
      <c r="A21" s="902"/>
      <c r="B21" s="901"/>
      <c r="C21" s="901"/>
      <c r="D21" s="901"/>
      <c r="E21" s="922"/>
      <c r="F21" s="470"/>
      <c r="G21" s="470"/>
      <c r="H21" s="470"/>
      <c r="I21" s="470"/>
      <c r="J21" s="470"/>
      <c r="K21" s="470"/>
      <c r="L21" s="470"/>
      <c r="M21" s="470"/>
      <c r="N21" s="470"/>
      <c r="O21" s="470"/>
      <c r="P21" s="470"/>
      <c r="Q21" s="470"/>
      <c r="R21" s="470"/>
      <c r="S21" s="470"/>
      <c r="T21" s="923"/>
      <c r="U21" s="294"/>
      <c r="V21" s="294"/>
      <c r="W21" s="294"/>
      <c r="X21" s="923"/>
      <c r="Y21" s="294"/>
      <c r="Z21" s="294"/>
      <c r="AA21" s="294"/>
      <c r="AB21" s="920"/>
      <c r="AC21" s="824"/>
    </row>
    <row r="22" spans="1:29" s="12" customFormat="1" ht="27" customHeight="1">
      <c r="A22" s="305" t="s">
        <v>900</v>
      </c>
      <c r="B22" s="297">
        <v>1400</v>
      </c>
      <c r="C22" s="297">
        <v>150</v>
      </c>
      <c r="D22" s="298" t="s">
        <v>18</v>
      </c>
      <c r="E22" s="300">
        <f>SUM(E23:E24)</f>
        <v>0</v>
      </c>
      <c r="F22" s="439"/>
      <c r="G22" s="439"/>
      <c r="H22" s="439"/>
      <c r="I22" s="439"/>
      <c r="J22" s="439"/>
      <c r="K22" s="439"/>
      <c r="L22" s="439"/>
      <c r="M22" s="439"/>
      <c r="N22" s="439"/>
      <c r="O22" s="439"/>
      <c r="P22" s="439"/>
      <c r="Q22" s="439"/>
      <c r="R22" s="439"/>
      <c r="S22" s="439"/>
      <c r="T22" s="872">
        <f t="shared" ref="T22:X22" si="2">SUM(T23:T24)</f>
        <v>0</v>
      </c>
      <c r="U22" s="872">
        <f t="shared" si="2"/>
        <v>0</v>
      </c>
      <c r="V22" s="872">
        <f t="shared" si="2"/>
        <v>0</v>
      </c>
      <c r="W22" s="872">
        <f t="shared" si="2"/>
        <v>0</v>
      </c>
      <c r="X22" s="872">
        <f t="shared" si="2"/>
        <v>0</v>
      </c>
      <c r="Y22" s="302"/>
      <c r="Z22" s="302"/>
      <c r="AA22" s="302"/>
      <c r="AB22" s="299" t="s">
        <v>43</v>
      </c>
      <c r="AC22" s="824"/>
    </row>
    <row r="23" spans="1:29" ht="30" customHeight="1">
      <c r="A23" s="291" t="s">
        <v>901</v>
      </c>
      <c r="B23" s="289">
        <v>1410</v>
      </c>
      <c r="C23" s="289">
        <v>150</v>
      </c>
      <c r="D23" s="293" t="s">
        <v>18</v>
      </c>
      <c r="E23" s="873" t="s">
        <v>43</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873" t="s">
        <v>43</v>
      </c>
      <c r="U23" s="873" t="s">
        <v>43</v>
      </c>
      <c r="V23" s="873" t="s">
        <v>43</v>
      </c>
      <c r="W23" s="873" t="s">
        <v>43</v>
      </c>
      <c r="X23" s="873" t="s">
        <v>43</v>
      </c>
      <c r="Y23" s="294"/>
      <c r="Z23" s="294"/>
      <c r="AA23" s="294"/>
      <c r="AB23" s="290" t="s">
        <v>43</v>
      </c>
      <c r="AC23" s="824"/>
    </row>
    <row r="24" spans="1:29" ht="31.5" customHeight="1">
      <c r="A24" s="291" t="s">
        <v>902</v>
      </c>
      <c r="B24" s="289">
        <v>1420</v>
      </c>
      <c r="C24" s="289">
        <v>150</v>
      </c>
      <c r="D24" s="293" t="s">
        <v>18</v>
      </c>
      <c r="E24" s="873" t="s">
        <v>43</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ht="27.75" customHeight="1">
      <c r="A25" s="828" t="s">
        <v>903</v>
      </c>
      <c r="B25" s="826">
        <v>1500</v>
      </c>
      <c r="C25" s="826">
        <v>180</v>
      </c>
      <c r="D25" s="826" t="s">
        <v>18</v>
      </c>
      <c r="E25" s="831" t="s">
        <v>43</v>
      </c>
      <c r="F25" s="470"/>
      <c r="G25" s="470"/>
      <c r="H25" s="470"/>
      <c r="I25" s="470"/>
      <c r="J25" s="470"/>
      <c r="K25" s="470"/>
      <c r="L25" s="470"/>
      <c r="M25" s="470"/>
      <c r="N25" s="470"/>
      <c r="O25" s="470"/>
      <c r="P25" s="470"/>
      <c r="Q25" s="470"/>
      <c r="R25" s="470"/>
      <c r="S25" s="470"/>
      <c r="T25" s="833" t="s">
        <v>43</v>
      </c>
      <c r="U25" s="830"/>
      <c r="V25" s="830"/>
      <c r="W25" s="830"/>
      <c r="X25" s="833" t="s">
        <v>43</v>
      </c>
      <c r="Y25" s="830"/>
      <c r="Z25" s="830"/>
      <c r="AA25" s="830">
        <f>[1]Лист12!H300</f>
        <v>7200</v>
      </c>
      <c r="AB25" s="827" t="s">
        <v>43</v>
      </c>
      <c r="AC25" s="824"/>
    </row>
    <row r="26" spans="1:29" ht="16.5" customHeight="1">
      <c r="A26" s="928" t="s">
        <v>904</v>
      </c>
      <c r="B26" s="901">
        <v>1900</v>
      </c>
      <c r="C26" s="901" t="s">
        <v>18</v>
      </c>
      <c r="D26" s="901" t="s">
        <v>18</v>
      </c>
      <c r="E26" s="921">
        <v>0</v>
      </c>
      <c r="F26" s="472"/>
      <c r="G26" s="472"/>
      <c r="H26" s="472"/>
      <c r="I26" s="472"/>
      <c r="J26" s="472"/>
      <c r="K26" s="472"/>
      <c r="L26" s="472"/>
      <c r="M26" s="472"/>
      <c r="N26" s="472"/>
      <c r="O26" s="472"/>
      <c r="P26" s="472"/>
      <c r="Q26" s="472"/>
      <c r="R26" s="472"/>
      <c r="S26" s="472"/>
      <c r="T26" s="921">
        <v>0</v>
      </c>
      <c r="U26" s="307"/>
      <c r="V26" s="307"/>
      <c r="W26" s="307"/>
      <c r="X26" s="921">
        <v>0</v>
      </c>
      <c r="Y26" s="307"/>
      <c r="Z26" s="307"/>
      <c r="AA26" s="307"/>
      <c r="AB26" s="920" t="s">
        <v>43</v>
      </c>
      <c r="AC26" s="823"/>
    </row>
    <row r="27" spans="1:29" ht="15.75" customHeight="1">
      <c r="A27" s="928"/>
      <c r="B27" s="901"/>
      <c r="C27" s="901"/>
      <c r="D27" s="901"/>
      <c r="E27" s="922"/>
      <c r="F27" s="466"/>
      <c r="G27" s="466"/>
      <c r="H27" s="466"/>
      <c r="I27" s="466"/>
      <c r="J27" s="466"/>
      <c r="K27" s="466"/>
      <c r="L27" s="466"/>
      <c r="M27" s="466"/>
      <c r="N27" s="466"/>
      <c r="O27" s="466"/>
      <c r="P27" s="466"/>
      <c r="Q27" s="466"/>
      <c r="R27" s="466"/>
      <c r="S27" s="466"/>
      <c r="T27" s="922"/>
      <c r="U27" s="307"/>
      <c r="V27" s="307"/>
      <c r="W27" s="307"/>
      <c r="X27" s="922"/>
      <c r="Y27" s="307"/>
      <c r="Z27" s="307"/>
      <c r="AA27" s="307"/>
      <c r="AB27" s="920"/>
      <c r="AC27" s="823"/>
    </row>
    <row r="28" spans="1:29" ht="24" customHeight="1">
      <c r="A28" s="825" t="s">
        <v>896</v>
      </c>
      <c r="B28" s="826"/>
      <c r="C28" s="826"/>
      <c r="D28" s="826"/>
      <c r="E28" s="829"/>
      <c r="F28" s="472"/>
      <c r="G28" s="472"/>
      <c r="H28" s="472"/>
      <c r="I28" s="472"/>
      <c r="J28" s="472"/>
      <c r="K28" s="472"/>
      <c r="L28" s="472"/>
      <c r="M28" s="472"/>
      <c r="N28" s="472"/>
      <c r="O28" s="472"/>
      <c r="P28" s="472"/>
      <c r="Q28" s="472"/>
      <c r="R28" s="472"/>
      <c r="S28" s="472"/>
      <c r="T28" s="829"/>
      <c r="U28" s="307"/>
      <c r="V28" s="307"/>
      <c r="W28" s="307"/>
      <c r="X28" s="829"/>
      <c r="Y28" s="307"/>
      <c r="Z28" s="307"/>
      <c r="AA28" s="307"/>
      <c r="AB28" s="827"/>
      <c r="AC28" s="823"/>
    </row>
    <row r="29" spans="1:29" ht="19.5" customHeight="1">
      <c r="A29" s="841" t="s">
        <v>893</v>
      </c>
      <c r="B29" s="836">
        <v>1980</v>
      </c>
      <c r="C29" s="836">
        <v>510</v>
      </c>
      <c r="D29" s="836" t="s">
        <v>18</v>
      </c>
      <c r="E29" s="840">
        <f>SUM(E31:E32)</f>
        <v>0</v>
      </c>
      <c r="F29" s="843"/>
      <c r="G29" s="843"/>
      <c r="H29" s="843"/>
      <c r="I29" s="843"/>
      <c r="J29" s="843"/>
      <c r="K29" s="843"/>
      <c r="L29" s="843"/>
      <c r="M29" s="843"/>
      <c r="N29" s="843"/>
      <c r="O29" s="843"/>
      <c r="P29" s="843"/>
      <c r="Q29" s="843"/>
      <c r="R29" s="843"/>
      <c r="S29" s="843"/>
      <c r="T29" s="840" t="str">
        <f>T31</f>
        <v>-</v>
      </c>
      <c r="U29" s="844"/>
      <c r="V29" s="844"/>
      <c r="W29" s="844"/>
      <c r="X29" s="840" t="str">
        <f>X31</f>
        <v>-</v>
      </c>
      <c r="Y29" s="844"/>
      <c r="Z29" s="844"/>
      <c r="AA29" s="844"/>
      <c r="AB29" s="838" t="s">
        <v>43</v>
      </c>
      <c r="AC29" s="823"/>
    </row>
    <row r="30" spans="1:29" s="160" customFormat="1" ht="19.5" customHeight="1">
      <c r="A30" s="845" t="s">
        <v>905</v>
      </c>
      <c r="B30" s="232" t="s">
        <v>18</v>
      </c>
      <c r="C30" s="846" t="s">
        <v>18</v>
      </c>
      <c r="D30" s="846" t="s">
        <v>18</v>
      </c>
      <c r="E30" s="846" t="s">
        <v>18</v>
      </c>
      <c r="F30" s="847"/>
      <c r="G30" s="847"/>
      <c r="H30" s="847"/>
      <c r="I30" s="847"/>
      <c r="J30" s="847"/>
      <c r="K30" s="847"/>
      <c r="L30" s="847"/>
      <c r="M30" s="847"/>
      <c r="N30" s="847"/>
      <c r="O30" s="847"/>
      <c r="P30" s="847"/>
      <c r="Q30" s="847"/>
      <c r="R30" s="847"/>
      <c r="S30" s="847"/>
      <c r="T30" s="846" t="s">
        <v>18</v>
      </c>
      <c r="U30" s="847"/>
      <c r="V30" s="847"/>
      <c r="W30" s="847"/>
      <c r="X30" s="846" t="s">
        <v>18</v>
      </c>
      <c r="Y30" s="847"/>
      <c r="Z30" s="847"/>
      <c r="AA30" s="847"/>
      <c r="AB30" s="848" t="s">
        <v>18</v>
      </c>
      <c r="AC30" s="823"/>
    </row>
    <row r="31" spans="1:29" ht="48" customHeight="1">
      <c r="A31" s="845" t="s">
        <v>906</v>
      </c>
      <c r="B31" s="846">
        <v>1981</v>
      </c>
      <c r="C31" s="846">
        <v>510</v>
      </c>
      <c r="D31" s="846" t="s">
        <v>18</v>
      </c>
      <c r="E31" s="846">
        <v>0</v>
      </c>
      <c r="F31" s="847"/>
      <c r="G31" s="847"/>
      <c r="H31" s="847"/>
      <c r="I31" s="847"/>
      <c r="J31" s="847"/>
      <c r="K31" s="847"/>
      <c r="L31" s="847"/>
      <c r="M31" s="847"/>
      <c r="N31" s="847"/>
      <c r="O31" s="847"/>
      <c r="P31" s="847"/>
      <c r="Q31" s="847"/>
      <c r="R31" s="847"/>
      <c r="S31" s="847"/>
      <c r="T31" s="846" t="s">
        <v>43</v>
      </c>
      <c r="U31" s="847"/>
      <c r="V31" s="847"/>
      <c r="W31" s="847"/>
      <c r="X31" s="846" t="s">
        <v>43</v>
      </c>
      <c r="Y31" s="847"/>
      <c r="Z31" s="847"/>
      <c r="AA31" s="847"/>
      <c r="AB31" s="848" t="s">
        <v>43</v>
      </c>
      <c r="AC31" s="823"/>
    </row>
    <row r="32" spans="1:29" ht="73.5" customHeight="1">
      <c r="A32" s="845" t="s">
        <v>907</v>
      </c>
      <c r="B32" s="846">
        <v>1982</v>
      </c>
      <c r="C32" s="846">
        <v>510</v>
      </c>
      <c r="D32" s="846" t="s">
        <v>18</v>
      </c>
      <c r="E32" s="846" t="s">
        <v>43</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4"/>
    </row>
    <row r="33" spans="1:31" s="12" customFormat="1" ht="24.75" customHeight="1">
      <c r="A33" s="839" t="s">
        <v>23</v>
      </c>
      <c r="B33" s="836">
        <v>2000</v>
      </c>
      <c r="C33" s="836" t="s">
        <v>18</v>
      </c>
      <c r="D33" s="836" t="s">
        <v>18</v>
      </c>
      <c r="E33" s="834">
        <f>E34+E65+E86</f>
        <v>132147004.67</v>
      </c>
      <c r="F33" s="440"/>
      <c r="G33" s="440"/>
      <c r="H33" s="440"/>
      <c r="I33" s="440"/>
      <c r="J33" s="440"/>
      <c r="K33" s="440"/>
      <c r="L33" s="440"/>
      <c r="M33" s="440"/>
      <c r="N33" s="440"/>
      <c r="O33" s="440"/>
      <c r="P33" s="440"/>
      <c r="Q33" s="440"/>
      <c r="R33" s="440"/>
      <c r="S33" s="440"/>
      <c r="T33" s="835">
        <f>T34+T65+T86</f>
        <v>124940887.97999999</v>
      </c>
      <c r="U33" s="835">
        <f>U34+U65+U86</f>
        <v>12079021.469999999</v>
      </c>
      <c r="V33" s="835">
        <f>V34+V65+V86</f>
        <v>16252489.439999999</v>
      </c>
      <c r="W33" s="835">
        <f>W34+W65+W86</f>
        <v>12079021.469999999</v>
      </c>
      <c r="X33" s="835">
        <f>X34+X65+X86</f>
        <v>124156356.67999999</v>
      </c>
      <c r="Y33" s="837" t="e">
        <f>Y34+Y55+Y65+#REF!+Y72</f>
        <v>#REF!</v>
      </c>
      <c r="Z33" s="837" t="e">
        <f>Z34+Z55+Z65+#REF!+Z72</f>
        <v>#REF!</v>
      </c>
      <c r="AA33" s="837" t="e">
        <f>AA34+AA55+AA65+#REF!+AA72</f>
        <v>#REF!</v>
      </c>
      <c r="AB33" s="838" t="s">
        <v>43</v>
      </c>
      <c r="AC33" s="824">
        <f>E33-E11</f>
        <v>7862698.2900000066</v>
      </c>
      <c r="AD33" s="784">
        <f>T33-T11</f>
        <v>0</v>
      </c>
      <c r="AE33" s="784">
        <f>X33-X11</f>
        <v>0</v>
      </c>
    </row>
    <row r="34" spans="1:31" s="12" customFormat="1">
      <c r="A34" s="930" t="s">
        <v>908</v>
      </c>
      <c r="B34" s="931">
        <v>2100</v>
      </c>
      <c r="C34" s="931" t="s">
        <v>18</v>
      </c>
      <c r="D34" s="931" t="s">
        <v>18</v>
      </c>
      <c r="E34" s="932">
        <f>E37+E41+E50</f>
        <v>102090032.03999999</v>
      </c>
      <c r="F34" s="442"/>
      <c r="G34" s="442"/>
      <c r="H34" s="442"/>
      <c r="I34" s="442"/>
      <c r="J34" s="442"/>
      <c r="K34" s="442"/>
      <c r="L34" s="442"/>
      <c r="M34" s="442"/>
      <c r="N34" s="442"/>
      <c r="O34" s="442"/>
      <c r="P34" s="442"/>
      <c r="Q34" s="442"/>
      <c r="R34" s="442"/>
      <c r="S34" s="442"/>
      <c r="T34" s="929">
        <f>T37+T41+T50</f>
        <v>97678086.879999995</v>
      </c>
      <c r="U34" s="929">
        <f>U37+U41+U50</f>
        <v>11730552.93</v>
      </c>
      <c r="V34" s="929">
        <f>V37+V41+V50</f>
        <v>11764352.09</v>
      </c>
      <c r="W34" s="929">
        <f>W37+W41+W50</f>
        <v>11730552.93</v>
      </c>
      <c r="X34" s="929">
        <f>X37+X41+X50</f>
        <v>98193522.879999995</v>
      </c>
      <c r="Y34" s="929">
        <f>Y37+Y39+Y40+Y41+Y50</f>
        <v>7911517.0099999998</v>
      </c>
      <c r="Z34" s="929">
        <f>Z37+Z39+Z40+Z41+Z50</f>
        <v>36435442.5</v>
      </c>
      <c r="AA34" s="929">
        <f>AA37+AA39+AA40+AA41+AA50</f>
        <v>7200</v>
      </c>
      <c r="AB34" s="934" t="s">
        <v>43</v>
      </c>
      <c r="AC34" s="823"/>
    </row>
    <row r="35" spans="1:31" s="12" customFormat="1">
      <c r="A35" s="930"/>
      <c r="B35" s="931"/>
      <c r="C35" s="931"/>
      <c r="D35" s="931"/>
      <c r="E35" s="933"/>
      <c r="F35" s="441"/>
      <c r="G35" s="441"/>
      <c r="H35" s="441"/>
      <c r="I35" s="441"/>
      <c r="J35" s="441"/>
      <c r="K35" s="441"/>
      <c r="L35" s="441"/>
      <c r="M35" s="441"/>
      <c r="N35" s="441"/>
      <c r="O35" s="441"/>
      <c r="P35" s="441"/>
      <c r="Q35" s="441"/>
      <c r="R35" s="441"/>
      <c r="S35" s="441"/>
      <c r="T35" s="931"/>
      <c r="U35" s="931"/>
      <c r="V35" s="931"/>
      <c r="W35" s="931"/>
      <c r="X35" s="931"/>
      <c r="Y35" s="931"/>
      <c r="Z35" s="931"/>
      <c r="AA35" s="931"/>
      <c r="AB35" s="934"/>
      <c r="AC35" s="823"/>
    </row>
    <row r="36" spans="1:31" s="160" customFormat="1" hidden="1">
      <c r="A36" s="157" t="s">
        <v>22</v>
      </c>
      <c r="B36" s="158" t="s">
        <v>18</v>
      </c>
      <c r="C36" s="158" t="s">
        <v>18</v>
      </c>
      <c r="D36" s="158" t="s">
        <v>18</v>
      </c>
      <c r="E36" s="158" t="s">
        <v>18</v>
      </c>
      <c r="F36" s="475"/>
      <c r="G36" s="475"/>
      <c r="H36" s="475"/>
      <c r="I36" s="475"/>
      <c r="J36" s="475"/>
      <c r="K36" s="475"/>
      <c r="L36" s="475"/>
      <c r="M36" s="475"/>
      <c r="N36" s="475"/>
      <c r="O36" s="475"/>
      <c r="P36" s="475"/>
      <c r="Q36" s="475"/>
      <c r="R36" s="475"/>
      <c r="S36" s="475"/>
      <c r="T36" s="158" t="s">
        <v>18</v>
      </c>
      <c r="U36" s="166"/>
      <c r="V36" s="166"/>
      <c r="W36" s="166"/>
      <c r="X36" s="158" t="s">
        <v>18</v>
      </c>
      <c r="Y36" s="166"/>
      <c r="Z36" s="166"/>
      <c r="AA36" s="166"/>
      <c r="AB36" s="159" t="s">
        <v>18</v>
      </c>
      <c r="AC36" s="823"/>
    </row>
    <row r="37" spans="1:31" s="12" customFormat="1">
      <c r="A37" s="930" t="s">
        <v>909</v>
      </c>
      <c r="B37" s="935">
        <v>2110</v>
      </c>
      <c r="C37" s="931">
        <v>111</v>
      </c>
      <c r="D37" s="936" t="s">
        <v>424</v>
      </c>
      <c r="E37" s="932">
        <f>E39+E40</f>
        <v>76384359.079999998</v>
      </c>
      <c r="F37" s="439"/>
      <c r="G37" s="439"/>
      <c r="H37" s="439"/>
      <c r="I37" s="439"/>
      <c r="J37" s="439"/>
      <c r="K37" s="439"/>
      <c r="L37" s="439"/>
      <c r="M37" s="439"/>
      <c r="N37" s="439"/>
      <c r="O37" s="439"/>
      <c r="P37" s="439"/>
      <c r="Q37" s="439"/>
      <c r="R37" s="439"/>
      <c r="S37" s="439"/>
      <c r="T37" s="929">
        <f>T39+T40</f>
        <v>74083366.260000005</v>
      </c>
      <c r="U37" s="929">
        <f>U39+U40</f>
        <v>8928465.0600000005</v>
      </c>
      <c r="V37" s="929">
        <f>V39+V40</f>
        <v>8928465.0600000005</v>
      </c>
      <c r="W37" s="929">
        <f>W39+W40</f>
        <v>8928465.0600000005</v>
      </c>
      <c r="X37" s="929">
        <f>X39+X40</f>
        <v>74113366.260000005</v>
      </c>
      <c r="Y37" s="937">
        <f>[1]Лист5!N79</f>
        <v>5207036.58</v>
      </c>
      <c r="Z37" s="937">
        <f>[1]Лист5!N57</f>
        <v>27124887.949999999</v>
      </c>
      <c r="AA37" s="937">
        <v>0</v>
      </c>
      <c r="AB37" s="934" t="s">
        <v>43</v>
      </c>
      <c r="AC37" s="823"/>
    </row>
    <row r="38" spans="1:31" s="12" customFormat="1" ht="13.5" customHeight="1">
      <c r="A38" s="930"/>
      <c r="B38" s="935"/>
      <c r="C38" s="931"/>
      <c r="D38" s="936"/>
      <c r="E38" s="933"/>
      <c r="F38" s="439"/>
      <c r="G38" s="439"/>
      <c r="H38" s="439"/>
      <c r="I38" s="439"/>
      <c r="J38" s="439"/>
      <c r="K38" s="439"/>
      <c r="L38" s="439"/>
      <c r="M38" s="439"/>
      <c r="N38" s="439"/>
      <c r="O38" s="439"/>
      <c r="P38" s="439"/>
      <c r="Q38" s="439"/>
      <c r="R38" s="439"/>
      <c r="S38" s="439"/>
      <c r="T38" s="929"/>
      <c r="U38" s="929"/>
      <c r="V38" s="929"/>
      <c r="W38" s="929"/>
      <c r="X38" s="929"/>
      <c r="Y38" s="937"/>
      <c r="Z38" s="937"/>
      <c r="AA38" s="937"/>
      <c r="AB38" s="934"/>
      <c r="AC38" s="823"/>
    </row>
    <row r="39" spans="1:31" s="123" customFormat="1" ht="20.25" hidden="1" customHeight="1">
      <c r="A39" s="182" t="s">
        <v>421</v>
      </c>
      <c r="B39" s="175">
        <v>2111</v>
      </c>
      <c r="C39" s="183">
        <v>111</v>
      </c>
      <c r="D39" s="183">
        <v>211</v>
      </c>
      <c r="E39" s="189">
        <f>2000+10331810.05+91000+63701556.21+1907992.82-2000000+2000000</f>
        <v>76034359.079999998</v>
      </c>
      <c r="F39" s="439"/>
      <c r="G39" s="439"/>
      <c r="H39" s="439"/>
      <c r="I39" s="439"/>
      <c r="J39" s="439"/>
      <c r="K39" s="439"/>
      <c r="L39" s="439"/>
      <c r="M39" s="439"/>
      <c r="N39" s="439"/>
      <c r="O39" s="439"/>
      <c r="P39" s="439"/>
      <c r="Q39" s="439"/>
      <c r="R39" s="439"/>
      <c r="S39" s="439"/>
      <c r="T39" s="189">
        <f>10331810.05+50000+63701556.21</f>
        <v>74083366.260000005</v>
      </c>
      <c r="U39" s="189">
        <v>8669165.0600000005</v>
      </c>
      <c r="V39" s="189">
        <v>8669165.0600000005</v>
      </c>
      <c r="W39" s="189">
        <v>8669165.0600000005</v>
      </c>
      <c r="X39" s="189">
        <f>10331810.05+80000+63701556.21</f>
        <v>74113366.260000005</v>
      </c>
      <c r="Y39" s="190">
        <v>3000</v>
      </c>
      <c r="Z39" s="190">
        <v>94000</v>
      </c>
      <c r="AA39" s="190">
        <v>0</v>
      </c>
      <c r="AB39" s="186" t="s">
        <v>43</v>
      </c>
      <c r="AC39" s="823"/>
    </row>
    <row r="40" spans="1:31" s="123" customFormat="1" ht="30" hidden="1">
      <c r="A40" s="182" t="s">
        <v>46</v>
      </c>
      <c r="B40" s="175">
        <v>2112</v>
      </c>
      <c r="C40" s="183">
        <v>111</v>
      </c>
      <c r="D40" s="183">
        <v>266</v>
      </c>
      <c r="E40" s="189">
        <f>50000+50000+250000</f>
        <v>350000</v>
      </c>
      <c r="F40" s="439"/>
      <c r="G40" s="439"/>
      <c r="H40" s="439"/>
      <c r="I40" s="439"/>
      <c r="J40" s="439"/>
      <c r="K40" s="439"/>
      <c r="L40" s="439"/>
      <c r="M40" s="439"/>
      <c r="N40" s="439"/>
      <c r="O40" s="439"/>
      <c r="P40" s="439"/>
      <c r="Q40" s="439"/>
      <c r="R40" s="439"/>
      <c r="S40" s="439"/>
      <c r="T40" s="189">
        <v>0</v>
      </c>
      <c r="U40" s="189">
        <f t="shared" ref="U40:W40" si="3">56000+203300</f>
        <v>259300</v>
      </c>
      <c r="V40" s="189">
        <f t="shared" si="3"/>
        <v>259300</v>
      </c>
      <c r="W40" s="189">
        <f t="shared" si="3"/>
        <v>259300</v>
      </c>
      <c r="X40" s="189">
        <v>0</v>
      </c>
      <c r="Y40" s="190">
        <v>19800</v>
      </c>
      <c r="Z40" s="190">
        <v>19800</v>
      </c>
      <c r="AA40" s="190"/>
      <c r="AB40" s="186" t="s">
        <v>43</v>
      </c>
      <c r="AC40" s="823"/>
    </row>
    <row r="41" spans="1:31" s="12" customFormat="1">
      <c r="A41" s="930" t="s">
        <v>910</v>
      </c>
      <c r="B41" s="931">
        <v>2120</v>
      </c>
      <c r="C41" s="931">
        <v>112</v>
      </c>
      <c r="D41" s="936" t="s">
        <v>423</v>
      </c>
      <c r="E41" s="932">
        <f>E44+E45+E46+E47</f>
        <v>2757490.51</v>
      </c>
      <c r="F41" s="439"/>
      <c r="G41" s="439"/>
      <c r="H41" s="439"/>
      <c r="I41" s="439"/>
      <c r="J41" s="439"/>
      <c r="K41" s="439"/>
      <c r="L41" s="439"/>
      <c r="M41" s="439"/>
      <c r="N41" s="439"/>
      <c r="O41" s="439"/>
      <c r="P41" s="439"/>
      <c r="Q41" s="439"/>
      <c r="R41" s="439"/>
      <c r="S41" s="439"/>
      <c r="T41" s="929">
        <f t="shared" ref="T41:X41" si="4">SUM(T44:T47)</f>
        <v>1230000</v>
      </c>
      <c r="U41" s="937">
        <f t="shared" si="4"/>
        <v>240000</v>
      </c>
      <c r="V41" s="937">
        <f t="shared" si="4"/>
        <v>240000</v>
      </c>
      <c r="W41" s="937">
        <f t="shared" si="4"/>
        <v>240000</v>
      </c>
      <c r="X41" s="929">
        <f t="shared" si="4"/>
        <v>1710000</v>
      </c>
      <c r="Y41" s="929">
        <f>SUM(Y44:Y47)</f>
        <v>1148378</v>
      </c>
      <c r="Z41" s="929">
        <f t="shared" ref="Z41:AA41" si="5">SUM(Z44:Z47)</f>
        <v>1062272.75</v>
      </c>
      <c r="AA41" s="929">
        <f t="shared" si="5"/>
        <v>7200</v>
      </c>
      <c r="AB41" s="934" t="s">
        <v>43</v>
      </c>
      <c r="AC41" s="823"/>
    </row>
    <row r="42" spans="1:31" s="12" customFormat="1">
      <c r="A42" s="930"/>
      <c r="B42" s="931"/>
      <c r="C42" s="931"/>
      <c r="D42" s="936"/>
      <c r="E42" s="933"/>
      <c r="F42" s="439"/>
      <c r="G42" s="439"/>
      <c r="H42" s="439"/>
      <c r="I42" s="439"/>
      <c r="J42" s="439"/>
      <c r="K42" s="439"/>
      <c r="L42" s="439"/>
      <c r="M42" s="439"/>
      <c r="N42" s="439"/>
      <c r="O42" s="439"/>
      <c r="P42" s="439"/>
      <c r="Q42" s="439"/>
      <c r="R42" s="439"/>
      <c r="S42" s="439"/>
      <c r="T42" s="929"/>
      <c r="U42" s="937"/>
      <c r="V42" s="937"/>
      <c r="W42" s="937"/>
      <c r="X42" s="929"/>
      <c r="Y42" s="929"/>
      <c r="Z42" s="929"/>
      <c r="AA42" s="929"/>
      <c r="AB42" s="934"/>
    </row>
    <row r="43" spans="1:31" s="123" customFormat="1" hidden="1">
      <c r="A43" s="182" t="s">
        <v>22</v>
      </c>
      <c r="B43" s="183" t="s">
        <v>18</v>
      </c>
      <c r="C43" s="183" t="s">
        <v>18</v>
      </c>
      <c r="D43" s="183" t="s">
        <v>18</v>
      </c>
      <c r="E43" s="189" t="s">
        <v>18</v>
      </c>
      <c r="F43" s="470"/>
      <c r="G43" s="470"/>
      <c r="H43" s="470"/>
      <c r="I43" s="470"/>
      <c r="J43" s="470"/>
      <c r="K43" s="470"/>
      <c r="L43" s="470"/>
      <c r="M43" s="470"/>
      <c r="N43" s="470"/>
      <c r="O43" s="470"/>
      <c r="P43" s="470"/>
      <c r="Q43" s="470"/>
      <c r="R43" s="470"/>
      <c r="S43" s="470"/>
      <c r="T43" s="189" t="s">
        <v>18</v>
      </c>
      <c r="U43" s="190"/>
      <c r="V43" s="190"/>
      <c r="W43" s="190"/>
      <c r="X43" s="189" t="s">
        <v>18</v>
      </c>
      <c r="Y43" s="190"/>
      <c r="Z43" s="190"/>
      <c r="AA43" s="190"/>
      <c r="AB43" s="186" t="s">
        <v>18</v>
      </c>
    </row>
    <row r="44" spans="1:31" s="123" customFormat="1" ht="33" hidden="1" customHeight="1">
      <c r="A44" s="182" t="s">
        <v>47</v>
      </c>
      <c r="B44" s="175">
        <v>2121</v>
      </c>
      <c r="C44" s="183">
        <v>112</v>
      </c>
      <c r="D44" s="183">
        <v>212</v>
      </c>
      <c r="E44" s="189">
        <f>70000+24500</f>
        <v>94500</v>
      </c>
      <c r="F44" s="470"/>
      <c r="G44" s="470"/>
      <c r="H44" s="470"/>
      <c r="I44" s="470"/>
      <c r="J44" s="470"/>
      <c r="K44" s="470"/>
      <c r="L44" s="470"/>
      <c r="M44" s="470"/>
      <c r="N44" s="470"/>
      <c r="O44" s="470"/>
      <c r="P44" s="470"/>
      <c r="Q44" s="470"/>
      <c r="R44" s="470"/>
      <c r="S44" s="470"/>
      <c r="T44" s="189">
        <f t="shared" ref="T44:X44" si="6">70000</f>
        <v>70000</v>
      </c>
      <c r="U44" s="189">
        <f t="shared" si="6"/>
        <v>70000</v>
      </c>
      <c r="V44" s="189">
        <f t="shared" si="6"/>
        <v>70000</v>
      </c>
      <c r="W44" s="189">
        <f t="shared" si="6"/>
        <v>70000</v>
      </c>
      <c r="X44" s="189">
        <f t="shared" si="6"/>
        <v>70000</v>
      </c>
      <c r="Y44" s="190">
        <v>243000</v>
      </c>
      <c r="Z44" s="190">
        <v>0</v>
      </c>
      <c r="AA44" s="190">
        <v>0</v>
      </c>
      <c r="AB44" s="186" t="s">
        <v>43</v>
      </c>
    </row>
    <row r="45" spans="1:31" s="123" customFormat="1" ht="36.75" hidden="1" customHeight="1">
      <c r="A45" s="182" t="s">
        <v>48</v>
      </c>
      <c r="B45" s="175">
        <v>2122</v>
      </c>
      <c r="C45" s="183">
        <v>112</v>
      </c>
      <c r="D45" s="183">
        <v>214</v>
      </c>
      <c r="E45" s="189">
        <f>240000+1230000+760795.9+100000</f>
        <v>2330795.9</v>
      </c>
      <c r="F45" s="470"/>
      <c r="G45" s="470"/>
      <c r="H45" s="470"/>
      <c r="I45" s="470"/>
      <c r="J45" s="470"/>
      <c r="K45" s="470"/>
      <c r="L45" s="470"/>
      <c r="M45" s="470"/>
      <c r="N45" s="470"/>
      <c r="O45" s="470"/>
      <c r="P45" s="470"/>
      <c r="Q45" s="470"/>
      <c r="R45" s="470"/>
      <c r="S45" s="470"/>
      <c r="T45" s="189">
        <f>90000+900000</f>
        <v>990000</v>
      </c>
      <c r="U45" s="190"/>
      <c r="V45" s="190"/>
      <c r="W45" s="190"/>
      <c r="X45" s="189">
        <f>120000+1350000</f>
        <v>1470000</v>
      </c>
      <c r="Y45" s="190">
        <v>140000</v>
      </c>
      <c r="Z45" s="190">
        <v>960000</v>
      </c>
      <c r="AA45" s="190">
        <v>0</v>
      </c>
      <c r="AB45" s="186" t="s">
        <v>43</v>
      </c>
    </row>
    <row r="46" spans="1:31" s="123" customFormat="1" ht="50.25" hidden="1" customHeight="1">
      <c r="A46" s="182" t="s">
        <v>49</v>
      </c>
      <c r="B46" s="175">
        <v>2123</v>
      </c>
      <c r="C46" s="183">
        <v>112</v>
      </c>
      <c r="D46" s="183">
        <v>226</v>
      </c>
      <c r="E46" s="189">
        <f>170000+162194.61</f>
        <v>332194.61</v>
      </c>
      <c r="F46" s="470"/>
      <c r="G46" s="470"/>
      <c r="H46" s="470"/>
      <c r="I46" s="470"/>
      <c r="J46" s="470"/>
      <c r="K46" s="470"/>
      <c r="L46" s="470"/>
      <c r="M46" s="470"/>
      <c r="N46" s="470"/>
      <c r="O46" s="470"/>
      <c r="P46" s="470"/>
      <c r="Q46" s="470"/>
      <c r="R46" s="470"/>
      <c r="S46" s="470"/>
      <c r="T46" s="189">
        <f t="shared" ref="T46:X46" si="7">170000</f>
        <v>170000</v>
      </c>
      <c r="U46" s="189">
        <f t="shared" si="7"/>
        <v>170000</v>
      </c>
      <c r="V46" s="189">
        <f t="shared" si="7"/>
        <v>170000</v>
      </c>
      <c r="W46" s="189">
        <f t="shared" si="7"/>
        <v>170000</v>
      </c>
      <c r="X46" s="189">
        <f t="shared" si="7"/>
        <v>170000</v>
      </c>
      <c r="Y46" s="190">
        <v>764478</v>
      </c>
      <c r="Z46" s="190">
        <v>0</v>
      </c>
      <c r="AA46" s="190">
        <v>0</v>
      </c>
      <c r="AB46" s="186" t="s">
        <v>43</v>
      </c>
    </row>
    <row r="47" spans="1:31" s="123" customFormat="1" ht="30" hidden="1">
      <c r="A47" s="182" t="s">
        <v>46</v>
      </c>
      <c r="B47" s="175">
        <v>2124</v>
      </c>
      <c r="C47" s="183">
        <v>112</v>
      </c>
      <c r="D47" s="183">
        <v>266</v>
      </c>
      <c r="E47" s="189">
        <f>80000-80000</f>
        <v>0</v>
      </c>
      <c r="F47" s="470"/>
      <c r="G47" s="470"/>
      <c r="H47" s="470"/>
      <c r="I47" s="470"/>
      <c r="J47" s="470"/>
      <c r="K47" s="470"/>
      <c r="L47" s="470"/>
      <c r="M47" s="470"/>
      <c r="N47" s="470"/>
      <c r="O47" s="470"/>
      <c r="P47" s="470"/>
      <c r="Q47" s="470"/>
      <c r="R47" s="470"/>
      <c r="S47" s="470"/>
      <c r="T47" s="189">
        <v>0</v>
      </c>
      <c r="U47" s="190"/>
      <c r="V47" s="190"/>
      <c r="W47" s="190"/>
      <c r="X47" s="189">
        <v>0</v>
      </c>
      <c r="Y47" s="190">
        <v>900</v>
      </c>
      <c r="Z47" s="190">
        <v>102272.75</v>
      </c>
      <c r="AA47" s="190">
        <v>7200</v>
      </c>
      <c r="AB47" s="186" t="s">
        <v>43</v>
      </c>
    </row>
    <row r="48" spans="1:31">
      <c r="A48" s="902" t="s">
        <v>911</v>
      </c>
      <c r="B48" s="901">
        <v>2130</v>
      </c>
      <c r="C48" s="901">
        <v>113</v>
      </c>
      <c r="D48" s="901" t="s">
        <v>18</v>
      </c>
      <c r="E48" s="921" t="s">
        <v>43</v>
      </c>
      <c r="F48" s="470"/>
      <c r="G48" s="470"/>
      <c r="H48" s="470"/>
      <c r="I48" s="470"/>
      <c r="J48" s="470"/>
      <c r="K48" s="470"/>
      <c r="L48" s="470"/>
      <c r="M48" s="470"/>
      <c r="N48" s="470"/>
      <c r="O48" s="470"/>
      <c r="P48" s="470"/>
      <c r="Q48" s="470"/>
      <c r="R48" s="470"/>
      <c r="S48" s="470"/>
      <c r="T48" s="923" t="s">
        <v>43</v>
      </c>
      <c r="U48" s="919"/>
      <c r="V48" s="919"/>
      <c r="W48" s="919"/>
      <c r="X48" s="923" t="s">
        <v>43</v>
      </c>
      <c r="Y48" s="919"/>
      <c r="Z48" s="919"/>
      <c r="AA48" s="919"/>
      <c r="AB48" s="920" t="s">
        <v>43</v>
      </c>
    </row>
    <row r="49" spans="1:35" ht="33" customHeight="1">
      <c r="A49" s="902"/>
      <c r="B49" s="901"/>
      <c r="C49" s="901"/>
      <c r="D49" s="901"/>
      <c r="E49" s="922"/>
      <c r="F49" s="470"/>
      <c r="G49" s="470"/>
      <c r="H49" s="470"/>
      <c r="I49" s="470"/>
      <c r="J49" s="470"/>
      <c r="K49" s="470"/>
      <c r="L49" s="470"/>
      <c r="M49" s="470"/>
      <c r="N49" s="470"/>
      <c r="O49" s="470"/>
      <c r="P49" s="470"/>
      <c r="Q49" s="470"/>
      <c r="R49" s="470"/>
      <c r="S49" s="470"/>
      <c r="T49" s="923"/>
      <c r="U49" s="919"/>
      <c r="V49" s="919"/>
      <c r="W49" s="919"/>
      <c r="X49" s="923"/>
      <c r="Y49" s="919"/>
      <c r="Z49" s="919"/>
      <c r="AA49" s="919"/>
      <c r="AB49" s="920"/>
    </row>
    <row r="50" spans="1:35" s="12" customFormat="1" ht="45">
      <c r="A50" s="296" t="s">
        <v>912</v>
      </c>
      <c r="B50" s="297">
        <v>2140</v>
      </c>
      <c r="C50" s="297">
        <v>119</v>
      </c>
      <c r="D50" s="297" t="s">
        <v>18</v>
      </c>
      <c r="E50" s="300">
        <f>E51+E53</f>
        <v>22948182.449999996</v>
      </c>
      <c r="F50" s="439"/>
      <c r="G50" s="439"/>
      <c r="H50" s="439"/>
      <c r="I50" s="439"/>
      <c r="J50" s="439"/>
      <c r="K50" s="439"/>
      <c r="L50" s="439"/>
      <c r="M50" s="439"/>
      <c r="N50" s="439"/>
      <c r="O50" s="439"/>
      <c r="P50" s="439"/>
      <c r="Q50" s="439"/>
      <c r="R50" s="439"/>
      <c r="S50" s="439"/>
      <c r="T50" s="300">
        <f t="shared" ref="T50:X50" si="8">T51+T53</f>
        <v>22364720.619999997</v>
      </c>
      <c r="U50" s="302">
        <f t="shared" si="8"/>
        <v>2562087.87</v>
      </c>
      <c r="V50" s="302">
        <f t="shared" si="8"/>
        <v>2595887.0300000003</v>
      </c>
      <c r="W50" s="302">
        <f t="shared" si="8"/>
        <v>2562087.87</v>
      </c>
      <c r="X50" s="300">
        <f t="shared" si="8"/>
        <v>22370156.619999997</v>
      </c>
      <c r="Y50" s="300">
        <f>Y51+Y53</f>
        <v>1533302.43</v>
      </c>
      <c r="Z50" s="300">
        <f>Z51+Z53</f>
        <v>8134481.8000000007</v>
      </c>
      <c r="AA50" s="302">
        <f>AA51+AA53</f>
        <v>0</v>
      </c>
      <c r="AB50" s="299" t="s">
        <v>43</v>
      </c>
      <c r="AF50" s="132"/>
      <c r="AG50" s="132"/>
      <c r="AH50" s="132"/>
      <c r="AI50" s="132"/>
    </row>
    <row r="51" spans="1:35">
      <c r="A51" s="952" t="s">
        <v>913</v>
      </c>
      <c r="B51" s="907">
        <v>2141</v>
      </c>
      <c r="C51" s="907">
        <v>119</v>
      </c>
      <c r="D51" s="907">
        <v>213</v>
      </c>
      <c r="E51" s="938">
        <f>3120206.63+13892+19237869.99+576213.83-604000+604000</f>
        <v>22948182.449999996</v>
      </c>
      <c r="F51" s="942">
        <f>G51+H51</f>
        <v>641873.99</v>
      </c>
      <c r="G51" s="942">
        <v>268992.51</v>
      </c>
      <c r="H51" s="942">
        <v>372881.48</v>
      </c>
      <c r="I51" s="942">
        <f>J51+K51</f>
        <v>-372881.48</v>
      </c>
      <c r="J51" s="942"/>
      <c r="K51" s="942">
        <v>-372881.48</v>
      </c>
      <c r="L51" s="883"/>
      <c r="M51" s="883"/>
      <c r="N51" s="883"/>
      <c r="O51" s="883"/>
      <c r="P51" s="883"/>
      <c r="Q51" s="883"/>
      <c r="R51" s="883"/>
      <c r="S51" s="883"/>
      <c r="T51" s="938">
        <f>3120206.63+6644+19237869.99</f>
        <v>22364720.619999997</v>
      </c>
      <c r="U51" s="938">
        <f t="shared" ref="U51:W51" si="9">2562087.87</f>
        <v>2562087.87</v>
      </c>
      <c r="V51" s="938">
        <f t="shared" si="9"/>
        <v>2562087.87</v>
      </c>
      <c r="W51" s="938">
        <f t="shared" si="9"/>
        <v>2562087.87</v>
      </c>
      <c r="X51" s="938">
        <f>3120206.63+12080+19237869.99</f>
        <v>22370156.619999997</v>
      </c>
      <c r="Y51" s="940">
        <f>[1]Лист9!H42</f>
        <v>1533302.43</v>
      </c>
      <c r="Z51" s="940">
        <f>[1]Лист9!H22</f>
        <v>8098921.9800000004</v>
      </c>
      <c r="AA51" s="940">
        <v>0</v>
      </c>
      <c r="AB51" s="917" t="s">
        <v>43</v>
      </c>
      <c r="AF51" s="133"/>
      <c r="AG51" s="133"/>
      <c r="AH51" s="133"/>
      <c r="AI51" s="133"/>
    </row>
    <row r="52" spans="1:35">
      <c r="A52" s="953"/>
      <c r="B52" s="908"/>
      <c r="C52" s="908"/>
      <c r="D52" s="908"/>
      <c r="E52" s="939"/>
      <c r="F52" s="943"/>
      <c r="G52" s="943"/>
      <c r="H52" s="943"/>
      <c r="I52" s="943"/>
      <c r="J52" s="943"/>
      <c r="K52" s="943"/>
      <c r="L52" s="884"/>
      <c r="M52" s="884"/>
      <c r="N52" s="884"/>
      <c r="O52" s="884"/>
      <c r="P52" s="884"/>
      <c r="Q52" s="884"/>
      <c r="R52" s="884"/>
      <c r="S52" s="884"/>
      <c r="T52" s="939"/>
      <c r="U52" s="939"/>
      <c r="V52" s="939"/>
      <c r="W52" s="939"/>
      <c r="X52" s="939"/>
      <c r="Y52" s="941"/>
      <c r="Z52" s="941"/>
      <c r="AA52" s="941"/>
      <c r="AB52" s="918"/>
    </row>
    <row r="53" spans="1:35">
      <c r="A53" s="928" t="s">
        <v>914</v>
      </c>
      <c r="B53" s="901">
        <v>2142</v>
      </c>
      <c r="C53" s="901">
        <v>119</v>
      </c>
      <c r="D53" s="901">
        <v>266</v>
      </c>
      <c r="E53" s="938">
        <v>0</v>
      </c>
      <c r="F53" s="880"/>
      <c r="G53" s="880"/>
      <c r="H53" s="880"/>
      <c r="I53" s="880"/>
      <c r="J53" s="880"/>
      <c r="K53" s="880"/>
      <c r="L53" s="880"/>
      <c r="M53" s="880"/>
      <c r="N53" s="880"/>
      <c r="O53" s="880"/>
      <c r="P53" s="880"/>
      <c r="Q53" s="880"/>
      <c r="R53" s="880"/>
      <c r="S53" s="880"/>
      <c r="T53" s="926">
        <v>0</v>
      </c>
      <c r="U53" s="927">
        <v>0</v>
      </c>
      <c r="V53" s="927">
        <f>[1]Лист10!J12</f>
        <v>33799.160000000003</v>
      </c>
      <c r="W53" s="927">
        <v>0</v>
      </c>
      <c r="X53" s="926">
        <v>0</v>
      </c>
      <c r="Y53" s="919">
        <v>0</v>
      </c>
      <c r="Z53" s="919">
        <f>[1]Лист10!N12</f>
        <v>35559.82</v>
      </c>
      <c r="AA53" s="919">
        <v>0</v>
      </c>
      <c r="AB53" s="920" t="s">
        <v>43</v>
      </c>
    </row>
    <row r="54" spans="1:35">
      <c r="A54" s="928"/>
      <c r="B54" s="901"/>
      <c r="C54" s="901"/>
      <c r="D54" s="901"/>
      <c r="E54" s="939"/>
      <c r="F54" s="880"/>
      <c r="G54" s="880"/>
      <c r="H54" s="880"/>
      <c r="I54" s="880"/>
      <c r="J54" s="880"/>
      <c r="K54" s="880"/>
      <c r="L54" s="880"/>
      <c r="M54" s="880"/>
      <c r="N54" s="880"/>
      <c r="O54" s="880"/>
      <c r="P54" s="880"/>
      <c r="Q54" s="880"/>
      <c r="R54" s="880"/>
      <c r="S54" s="880"/>
      <c r="T54" s="926"/>
      <c r="U54" s="927"/>
      <c r="V54" s="927"/>
      <c r="W54" s="927"/>
      <c r="X54" s="926"/>
      <c r="Y54" s="919"/>
      <c r="Z54" s="919"/>
      <c r="AA54" s="919"/>
      <c r="AB54" s="920"/>
    </row>
    <row r="55" spans="1:35">
      <c r="A55" s="928" t="s">
        <v>915</v>
      </c>
      <c r="B55" s="901">
        <v>2200</v>
      </c>
      <c r="C55" s="901">
        <v>300</v>
      </c>
      <c r="D55" s="901" t="s">
        <v>18</v>
      </c>
      <c r="E55" s="921" t="s">
        <v>43</v>
      </c>
      <c r="F55" s="470"/>
      <c r="G55" s="470"/>
      <c r="H55" s="470"/>
      <c r="I55" s="470"/>
      <c r="J55" s="470"/>
      <c r="K55" s="470"/>
      <c r="L55" s="470"/>
      <c r="M55" s="470"/>
      <c r="N55" s="470"/>
      <c r="O55" s="470"/>
      <c r="P55" s="470"/>
      <c r="Q55" s="470"/>
      <c r="R55" s="470"/>
      <c r="S55" s="470"/>
      <c r="T55" s="923" t="str">
        <f>T57</f>
        <v>-</v>
      </c>
      <c r="U55" s="919">
        <f>U57</f>
        <v>0</v>
      </c>
      <c r="V55" s="919">
        <f t="shared" ref="V55:W55" si="10">V57</f>
        <v>0</v>
      </c>
      <c r="W55" s="919">
        <f t="shared" si="10"/>
        <v>0</v>
      </c>
      <c r="X55" s="923" t="s">
        <v>43</v>
      </c>
      <c r="Y55" s="919">
        <f>Y57</f>
        <v>0</v>
      </c>
      <c r="Z55" s="919">
        <f t="shared" ref="Z55:AA55" si="11">Z57</f>
        <v>0</v>
      </c>
      <c r="AA55" s="919">
        <f t="shared" si="11"/>
        <v>0</v>
      </c>
      <c r="AB55" s="920" t="s">
        <v>43</v>
      </c>
    </row>
    <row r="56" spans="1:35">
      <c r="A56" s="928"/>
      <c r="B56" s="901"/>
      <c r="C56" s="901"/>
      <c r="D56" s="901"/>
      <c r="E56" s="922"/>
      <c r="F56" s="470"/>
      <c r="G56" s="470"/>
      <c r="H56" s="470"/>
      <c r="I56" s="470"/>
      <c r="J56" s="470"/>
      <c r="K56" s="470"/>
      <c r="L56" s="470"/>
      <c r="M56" s="470"/>
      <c r="N56" s="470"/>
      <c r="O56" s="470"/>
      <c r="P56" s="470"/>
      <c r="Q56" s="470"/>
      <c r="R56" s="470"/>
      <c r="S56" s="470"/>
      <c r="T56" s="923"/>
      <c r="U56" s="919"/>
      <c r="V56" s="919"/>
      <c r="W56" s="919"/>
      <c r="X56" s="923"/>
      <c r="Y56" s="919"/>
      <c r="Z56" s="919"/>
      <c r="AA56" s="919"/>
      <c r="AB56" s="920"/>
    </row>
    <row r="57" spans="1:35" ht="26.25" customHeight="1">
      <c r="A57" s="928" t="s">
        <v>916</v>
      </c>
      <c r="B57" s="901">
        <v>2210</v>
      </c>
      <c r="C57" s="901">
        <v>320</v>
      </c>
      <c r="D57" s="901" t="s">
        <v>18</v>
      </c>
      <c r="E57" s="921" t="s">
        <v>43</v>
      </c>
      <c r="F57" s="470"/>
      <c r="G57" s="470"/>
      <c r="H57" s="470"/>
      <c r="I57" s="470"/>
      <c r="J57" s="470"/>
      <c r="K57" s="470"/>
      <c r="L57" s="470"/>
      <c r="M57" s="470"/>
      <c r="N57" s="470"/>
      <c r="O57" s="470"/>
      <c r="P57" s="470"/>
      <c r="Q57" s="470"/>
      <c r="R57" s="470"/>
      <c r="S57" s="470"/>
      <c r="T57" s="923" t="s">
        <v>43</v>
      </c>
      <c r="U57" s="919">
        <v>0</v>
      </c>
      <c r="V57" s="919">
        <v>0</v>
      </c>
      <c r="W57" s="919">
        <v>0</v>
      </c>
      <c r="X57" s="923" t="s">
        <v>43</v>
      </c>
      <c r="Y57" s="919">
        <v>0</v>
      </c>
      <c r="Z57" s="919">
        <v>0</v>
      </c>
      <c r="AA57" s="919">
        <v>0</v>
      </c>
      <c r="AB57" s="920" t="s">
        <v>43</v>
      </c>
    </row>
    <row r="58" spans="1:35" ht="34.5" customHeight="1">
      <c r="A58" s="928"/>
      <c r="B58" s="901"/>
      <c r="C58" s="901"/>
      <c r="D58" s="901"/>
      <c r="E58" s="922"/>
      <c r="F58" s="470"/>
      <c r="G58" s="470"/>
      <c r="H58" s="470"/>
      <c r="I58" s="470"/>
      <c r="J58" s="470"/>
      <c r="K58" s="470"/>
      <c r="L58" s="470"/>
      <c r="M58" s="470"/>
      <c r="N58" s="470"/>
      <c r="O58" s="470"/>
      <c r="P58" s="470"/>
      <c r="Q58" s="470"/>
      <c r="R58" s="470"/>
      <c r="S58" s="470"/>
      <c r="T58" s="923"/>
      <c r="U58" s="919"/>
      <c r="V58" s="919"/>
      <c r="W58" s="919"/>
      <c r="X58" s="923"/>
      <c r="Y58" s="919"/>
      <c r="Z58" s="919"/>
      <c r="AA58" s="919"/>
      <c r="AB58" s="920"/>
    </row>
    <row r="59" spans="1:35" ht="26.25" customHeight="1">
      <c r="A59" s="928" t="s">
        <v>917</v>
      </c>
      <c r="B59" s="901">
        <v>2211</v>
      </c>
      <c r="C59" s="901">
        <v>321</v>
      </c>
      <c r="D59" s="901" t="s">
        <v>18</v>
      </c>
      <c r="E59" s="921" t="s">
        <v>43</v>
      </c>
      <c r="F59" s="470"/>
      <c r="G59" s="470"/>
      <c r="H59" s="470"/>
      <c r="I59" s="470"/>
      <c r="J59" s="470"/>
      <c r="K59" s="470"/>
      <c r="L59" s="470"/>
      <c r="M59" s="470"/>
      <c r="N59" s="470"/>
      <c r="O59" s="470"/>
      <c r="P59" s="470"/>
      <c r="Q59" s="470"/>
      <c r="R59" s="470"/>
      <c r="S59" s="470"/>
      <c r="T59" s="923" t="s">
        <v>43</v>
      </c>
      <c r="U59" s="919">
        <v>0</v>
      </c>
      <c r="V59" s="919">
        <v>0</v>
      </c>
      <c r="W59" s="919">
        <v>0</v>
      </c>
      <c r="X59" s="923" t="s">
        <v>43</v>
      </c>
      <c r="Y59" s="919">
        <v>0</v>
      </c>
      <c r="Z59" s="919">
        <v>0</v>
      </c>
      <c r="AA59" s="919">
        <v>0</v>
      </c>
      <c r="AB59" s="920" t="s">
        <v>43</v>
      </c>
    </row>
    <row r="60" spans="1:35" ht="30" customHeight="1">
      <c r="A60" s="928"/>
      <c r="B60" s="901"/>
      <c r="C60" s="901"/>
      <c r="D60" s="901"/>
      <c r="E60" s="922"/>
      <c r="F60" s="470"/>
      <c r="G60" s="470"/>
      <c r="H60" s="470"/>
      <c r="I60" s="470"/>
      <c r="J60" s="470"/>
      <c r="K60" s="470"/>
      <c r="L60" s="470"/>
      <c r="M60" s="470"/>
      <c r="N60" s="470"/>
      <c r="O60" s="470"/>
      <c r="P60" s="470"/>
      <c r="Q60" s="470"/>
      <c r="R60" s="470"/>
      <c r="S60" s="470"/>
      <c r="T60" s="923"/>
      <c r="U60" s="919"/>
      <c r="V60" s="919"/>
      <c r="W60" s="919"/>
      <c r="X60" s="923"/>
      <c r="Y60" s="919"/>
      <c r="Z60" s="919"/>
      <c r="AA60" s="919"/>
      <c r="AB60" s="920"/>
    </row>
    <row r="61" spans="1:35" s="93" customFormat="1" ht="34.5" customHeight="1">
      <c r="A61" s="825" t="s">
        <v>918</v>
      </c>
      <c r="B61" s="826">
        <v>2212</v>
      </c>
      <c r="C61" s="826">
        <v>323</v>
      </c>
      <c r="D61" s="826" t="s">
        <v>18</v>
      </c>
      <c r="E61" s="832" t="s">
        <v>43</v>
      </c>
      <c r="F61" s="470"/>
      <c r="G61" s="470"/>
      <c r="H61" s="470"/>
      <c r="I61" s="470"/>
      <c r="J61" s="470"/>
      <c r="K61" s="470"/>
      <c r="L61" s="470"/>
      <c r="M61" s="470"/>
      <c r="N61" s="470"/>
      <c r="O61" s="470"/>
      <c r="P61" s="470"/>
      <c r="Q61" s="470"/>
      <c r="R61" s="470"/>
      <c r="S61" s="470"/>
      <c r="T61" s="833" t="s">
        <v>43</v>
      </c>
      <c r="U61" s="830"/>
      <c r="V61" s="830"/>
      <c r="W61" s="830"/>
      <c r="X61" s="833" t="s">
        <v>43</v>
      </c>
      <c r="Y61" s="830"/>
      <c r="Z61" s="830"/>
      <c r="AA61" s="830"/>
      <c r="AB61" s="827" t="s">
        <v>43</v>
      </c>
    </row>
    <row r="62" spans="1:35" ht="45">
      <c r="A62" s="288" t="s">
        <v>919</v>
      </c>
      <c r="B62" s="289">
        <v>2220</v>
      </c>
      <c r="C62" s="289">
        <v>340</v>
      </c>
      <c r="D62" s="289" t="s">
        <v>18</v>
      </c>
      <c r="E62" s="295" t="s">
        <v>43</v>
      </c>
      <c r="F62" s="470"/>
      <c r="G62" s="470"/>
      <c r="H62" s="470"/>
      <c r="I62" s="470"/>
      <c r="J62" s="470"/>
      <c r="K62" s="470"/>
      <c r="L62" s="470"/>
      <c r="M62" s="470"/>
      <c r="N62" s="470"/>
      <c r="O62" s="470"/>
      <c r="P62" s="470"/>
      <c r="Q62" s="470"/>
      <c r="R62" s="470"/>
      <c r="S62" s="470"/>
      <c r="T62" s="295" t="s">
        <v>43</v>
      </c>
      <c r="U62" s="294"/>
      <c r="V62" s="294"/>
      <c r="W62" s="294"/>
      <c r="X62" s="295" t="s">
        <v>43</v>
      </c>
      <c r="Y62" s="294"/>
      <c r="Z62" s="294"/>
      <c r="AA62" s="294"/>
      <c r="AB62" s="290" t="s">
        <v>43</v>
      </c>
    </row>
    <row r="63" spans="1:35" ht="75">
      <c r="A63" s="288" t="s">
        <v>920</v>
      </c>
      <c r="B63" s="289">
        <v>2230</v>
      </c>
      <c r="C63" s="289">
        <v>350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24.75" customHeight="1">
      <c r="A64" s="288" t="s">
        <v>921</v>
      </c>
      <c r="B64" s="289">
        <v>2240</v>
      </c>
      <c r="C64" s="289">
        <v>360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s="12" customFormat="1" ht="22.5" customHeight="1">
      <c r="A65" s="296" t="s">
        <v>922</v>
      </c>
      <c r="B65" s="297">
        <v>2300</v>
      </c>
      <c r="C65" s="297">
        <v>850</v>
      </c>
      <c r="D65" s="297" t="s">
        <v>18</v>
      </c>
      <c r="E65" s="300">
        <f>E66+E68+E69</f>
        <v>155050.09</v>
      </c>
      <c r="F65" s="439"/>
      <c r="G65" s="439"/>
      <c r="H65" s="439"/>
      <c r="I65" s="439"/>
      <c r="J65" s="439"/>
      <c r="K65" s="439"/>
      <c r="L65" s="439"/>
      <c r="M65" s="439"/>
      <c r="N65" s="439"/>
      <c r="O65" s="439"/>
      <c r="P65" s="439"/>
      <c r="Q65" s="439"/>
      <c r="R65" s="439"/>
      <c r="S65" s="439"/>
      <c r="T65" s="300">
        <f>T66+T68+T69</f>
        <v>111050.09</v>
      </c>
      <c r="U65" s="302">
        <f>U66+U68+U69</f>
        <v>129203.1</v>
      </c>
      <c r="V65" s="302">
        <f>V66+V68+V69</f>
        <v>4268871.91</v>
      </c>
      <c r="W65" s="302">
        <f>W66+W68+W69</f>
        <v>129203.1</v>
      </c>
      <c r="X65" s="300">
        <f>X66+X68+X69</f>
        <v>111050.09</v>
      </c>
      <c r="Y65" s="300">
        <f>Y66+Y69</f>
        <v>0</v>
      </c>
      <c r="Z65" s="300">
        <f>Z66+Z69</f>
        <v>1994933.25</v>
      </c>
      <c r="AA65" s="300">
        <f>AA66+AA69</f>
        <v>0</v>
      </c>
      <c r="AB65" s="299" t="s">
        <v>43</v>
      </c>
    </row>
    <row r="66" spans="1:28" ht="32.25" customHeight="1">
      <c r="A66" s="928" t="s">
        <v>923</v>
      </c>
      <c r="B66" s="944">
        <v>2310</v>
      </c>
      <c r="C66" s="901">
        <v>851</v>
      </c>
      <c r="D66" s="901">
        <v>291</v>
      </c>
      <c r="E66" s="921">
        <v>0</v>
      </c>
      <c r="F66" s="439"/>
      <c r="G66" s="439"/>
      <c r="H66" s="439"/>
      <c r="I66" s="439"/>
      <c r="J66" s="439"/>
      <c r="K66" s="439"/>
      <c r="L66" s="439"/>
      <c r="M66" s="439"/>
      <c r="N66" s="439"/>
      <c r="O66" s="439"/>
      <c r="P66" s="439"/>
      <c r="Q66" s="439"/>
      <c r="R66" s="439"/>
      <c r="S66" s="439"/>
      <c r="T66" s="923">
        <v>0</v>
      </c>
      <c r="U66" s="919">
        <f>[1]Лист10!I38+[1]Лист10!I39</f>
        <v>0</v>
      </c>
      <c r="V66" s="919">
        <f>[1]Лист10!J38+[1]Лист10!J39</f>
        <v>2031292</v>
      </c>
      <c r="W66" s="919">
        <v>0</v>
      </c>
      <c r="X66" s="923">
        <v>0</v>
      </c>
      <c r="Y66" s="919">
        <v>0</v>
      </c>
      <c r="Z66" s="919">
        <f>[1]Лист10!N38+[1]Лист10!N39</f>
        <v>1975232.25</v>
      </c>
      <c r="AA66" s="919">
        <v>0</v>
      </c>
      <c r="AB66" s="920" t="s">
        <v>43</v>
      </c>
    </row>
    <row r="67" spans="1:28" ht="15" customHeight="1">
      <c r="A67" s="928"/>
      <c r="B67" s="944"/>
      <c r="C67" s="901"/>
      <c r="D67" s="901"/>
      <c r="E67" s="945"/>
      <c r="F67" s="439"/>
      <c r="G67" s="439"/>
      <c r="H67" s="439"/>
      <c r="I67" s="439"/>
      <c r="J67" s="439"/>
      <c r="K67" s="439"/>
      <c r="L67" s="439"/>
      <c r="M67" s="439"/>
      <c r="N67" s="439"/>
      <c r="O67" s="439"/>
      <c r="P67" s="439"/>
      <c r="Q67" s="439"/>
      <c r="R67" s="439"/>
      <c r="S67" s="439"/>
      <c r="T67" s="923"/>
      <c r="U67" s="919"/>
      <c r="V67" s="919"/>
      <c r="W67" s="919"/>
      <c r="X67" s="923"/>
      <c r="Y67" s="919"/>
      <c r="Z67" s="919"/>
      <c r="AA67" s="919"/>
      <c r="AB67" s="920"/>
    </row>
    <row r="68" spans="1:28" ht="54" customHeight="1">
      <c r="A68" s="288" t="s">
        <v>924</v>
      </c>
      <c r="B68" s="304">
        <v>2320</v>
      </c>
      <c r="C68" s="289">
        <v>852</v>
      </c>
      <c r="D68" s="289">
        <v>291</v>
      </c>
      <c r="E68" s="295">
        <v>44000</v>
      </c>
      <c r="F68" s="439"/>
      <c r="G68" s="439"/>
      <c r="H68" s="439"/>
      <c r="I68" s="439">
        <f>J68+K68</f>
        <v>800</v>
      </c>
      <c r="J68" s="439"/>
      <c r="K68" s="439">
        <v>800</v>
      </c>
      <c r="L68" s="439"/>
      <c r="M68" s="439"/>
      <c r="N68" s="439"/>
      <c r="O68" s="439"/>
      <c r="P68" s="439"/>
      <c r="Q68" s="439"/>
      <c r="R68" s="439"/>
      <c r="S68" s="439"/>
      <c r="T68" s="295">
        <v>0</v>
      </c>
      <c r="U68" s="294">
        <v>0</v>
      </c>
      <c r="V68" s="294">
        <v>0</v>
      </c>
      <c r="W68" s="294">
        <v>0</v>
      </c>
      <c r="X68" s="295">
        <v>0</v>
      </c>
      <c r="Y68" s="294">
        <v>0</v>
      </c>
      <c r="Z68" s="294">
        <v>0</v>
      </c>
      <c r="AA68" s="294">
        <v>0</v>
      </c>
      <c r="AB68" s="290" t="s">
        <v>43</v>
      </c>
    </row>
    <row r="69" spans="1:28" s="12" customFormat="1">
      <c r="A69" s="946" t="s">
        <v>925</v>
      </c>
      <c r="B69" s="935">
        <v>2330</v>
      </c>
      <c r="C69" s="931">
        <v>853</v>
      </c>
      <c r="D69" s="936" t="s">
        <v>748</v>
      </c>
      <c r="E69" s="932">
        <f>SUM(E71:E73)</f>
        <v>111050.09</v>
      </c>
      <c r="F69" s="439"/>
      <c r="G69" s="439"/>
      <c r="H69" s="439"/>
      <c r="I69" s="439"/>
      <c r="J69" s="439"/>
      <c r="K69" s="439"/>
      <c r="L69" s="439"/>
      <c r="M69" s="439"/>
      <c r="N69" s="439"/>
      <c r="O69" s="439"/>
      <c r="P69" s="439"/>
      <c r="Q69" s="439"/>
      <c r="R69" s="439"/>
      <c r="S69" s="439"/>
      <c r="T69" s="929">
        <f t="shared" ref="T69:X69" si="12">SUM(T71:T73)</f>
        <v>111050.09</v>
      </c>
      <c r="U69" s="929">
        <f t="shared" si="12"/>
        <v>129203.1</v>
      </c>
      <c r="V69" s="929">
        <f t="shared" si="12"/>
        <v>2237579.91</v>
      </c>
      <c r="W69" s="929">
        <f t="shared" si="12"/>
        <v>129203.1</v>
      </c>
      <c r="X69" s="929">
        <f t="shared" si="12"/>
        <v>111050.09</v>
      </c>
      <c r="Y69" s="937">
        <v>0</v>
      </c>
      <c r="Z69" s="937">
        <v>19701</v>
      </c>
      <c r="AA69" s="937">
        <v>0</v>
      </c>
      <c r="AB69" s="929" t="s">
        <v>43</v>
      </c>
    </row>
    <row r="70" spans="1:28" s="12" customFormat="1" ht="22.5" customHeight="1">
      <c r="A70" s="946"/>
      <c r="B70" s="935"/>
      <c r="C70" s="931"/>
      <c r="D70" s="936"/>
      <c r="E70" s="933"/>
      <c r="F70" s="439"/>
      <c r="G70" s="439"/>
      <c r="H70" s="439"/>
      <c r="I70" s="439"/>
      <c r="J70" s="439"/>
      <c r="K70" s="439"/>
      <c r="L70" s="439"/>
      <c r="M70" s="439"/>
      <c r="N70" s="439"/>
      <c r="O70" s="439"/>
      <c r="P70" s="439"/>
      <c r="Q70" s="439"/>
      <c r="R70" s="439"/>
      <c r="S70" s="439"/>
      <c r="T70" s="929"/>
      <c r="U70" s="929"/>
      <c r="V70" s="929"/>
      <c r="W70" s="929"/>
      <c r="X70" s="929"/>
      <c r="Y70" s="937"/>
      <c r="Z70" s="937"/>
      <c r="AA70" s="937"/>
      <c r="AB70" s="929"/>
    </row>
    <row r="71" spans="1:28" s="123" customFormat="1" ht="15" hidden="1" customHeight="1">
      <c r="A71" s="188" t="s">
        <v>50</v>
      </c>
      <c r="B71" s="175">
        <v>2330</v>
      </c>
      <c r="C71" s="183">
        <v>853</v>
      </c>
      <c r="D71" s="183">
        <v>241</v>
      </c>
      <c r="E71" s="189">
        <v>0</v>
      </c>
      <c r="F71" s="470"/>
      <c r="G71" s="470"/>
      <c r="H71" s="470"/>
      <c r="I71" s="470"/>
      <c r="J71" s="470"/>
      <c r="K71" s="470"/>
      <c r="L71" s="470"/>
      <c r="M71" s="470"/>
      <c r="N71" s="470"/>
      <c r="O71" s="470"/>
      <c r="P71" s="470"/>
      <c r="Q71" s="470"/>
      <c r="R71" s="470"/>
      <c r="S71" s="470"/>
      <c r="T71" s="189">
        <v>0</v>
      </c>
      <c r="U71" s="189">
        <v>19701</v>
      </c>
      <c r="V71" s="189">
        <v>19701</v>
      </c>
      <c r="W71" s="189">
        <v>19701</v>
      </c>
      <c r="X71" s="189">
        <v>0</v>
      </c>
      <c r="Y71" s="190"/>
      <c r="Z71" s="190"/>
      <c r="AA71" s="190"/>
      <c r="AB71" s="186" t="s">
        <v>43</v>
      </c>
    </row>
    <row r="72" spans="1:28" s="123" customFormat="1" ht="30" hidden="1" customHeight="1">
      <c r="A72" s="188" t="s">
        <v>51</v>
      </c>
      <c r="B72" s="175">
        <v>2330</v>
      </c>
      <c r="C72" s="183">
        <v>853</v>
      </c>
      <c r="D72" s="183">
        <v>297</v>
      </c>
      <c r="E72" s="189">
        <f>15497.72+95552.37</f>
        <v>111050.09</v>
      </c>
      <c r="F72" s="470"/>
      <c r="G72" s="470"/>
      <c r="H72" s="470"/>
      <c r="I72" s="470"/>
      <c r="J72" s="470"/>
      <c r="K72" s="470"/>
      <c r="L72" s="470"/>
      <c r="M72" s="470"/>
      <c r="N72" s="470"/>
      <c r="O72" s="470"/>
      <c r="P72" s="470"/>
      <c r="Q72" s="470"/>
      <c r="R72" s="470"/>
      <c r="S72" s="470"/>
      <c r="T72" s="189">
        <f>15497.72+95552.37</f>
        <v>111050.09</v>
      </c>
      <c r="U72" s="189">
        <f t="shared" ref="U72:W72" si="13">13003.72+96498.38</f>
        <v>109502.1</v>
      </c>
      <c r="V72" s="189">
        <f t="shared" si="13"/>
        <v>109502.1</v>
      </c>
      <c r="W72" s="189">
        <f t="shared" si="13"/>
        <v>109502.1</v>
      </c>
      <c r="X72" s="189">
        <f>15497.72+95552.37</f>
        <v>111050.09</v>
      </c>
      <c r="Y72" s="190">
        <f>[1]Лист10!N51</f>
        <v>7810.55</v>
      </c>
      <c r="Z72" s="190">
        <f>[1]Лист10!N41</f>
        <v>57383.81</v>
      </c>
      <c r="AA72" s="190">
        <v>0</v>
      </c>
      <c r="AB72" s="186" t="s">
        <v>43</v>
      </c>
    </row>
    <row r="73" spans="1:28" s="123" customFormat="1" ht="15" hidden="1" customHeight="1">
      <c r="A73" s="188" t="s">
        <v>407</v>
      </c>
      <c r="B73" s="175">
        <v>2330</v>
      </c>
      <c r="C73" s="183">
        <v>853</v>
      </c>
      <c r="D73" s="183">
        <v>295</v>
      </c>
      <c r="E73" s="189">
        <v>0</v>
      </c>
      <c r="F73" s="470"/>
      <c r="G73" s="470"/>
      <c r="H73" s="470"/>
      <c r="I73" s="470"/>
      <c r="J73" s="470"/>
      <c r="K73" s="470"/>
      <c r="L73" s="470"/>
      <c r="M73" s="470"/>
      <c r="N73" s="470"/>
      <c r="O73" s="470"/>
      <c r="P73" s="470"/>
      <c r="Q73" s="470"/>
      <c r="R73" s="470"/>
      <c r="S73" s="470"/>
      <c r="T73" s="189">
        <v>0</v>
      </c>
      <c r="U73" s="190">
        <f>[1]Лист10!J52</f>
        <v>0</v>
      </c>
      <c r="V73" s="190">
        <f>[1]Лист10!J42</f>
        <v>2108376.81</v>
      </c>
      <c r="W73" s="190">
        <v>0</v>
      </c>
      <c r="X73" s="189">
        <v>0</v>
      </c>
      <c r="Y73" s="190">
        <f>[1]Лист10!N52</f>
        <v>0</v>
      </c>
      <c r="Z73" s="190">
        <f>[1]Лист10!N42</f>
        <v>2052317.06</v>
      </c>
      <c r="AA73" s="190">
        <v>0</v>
      </c>
      <c r="AB73" s="186" t="s">
        <v>43</v>
      </c>
    </row>
    <row r="74" spans="1:28">
      <c r="A74" s="928" t="s">
        <v>926</v>
      </c>
      <c r="B74" s="901">
        <v>2400</v>
      </c>
      <c r="C74" s="901" t="s">
        <v>44</v>
      </c>
      <c r="D74" s="901" t="s">
        <v>18</v>
      </c>
      <c r="E74" s="921" t="s">
        <v>43</v>
      </c>
      <c r="F74" s="470"/>
      <c r="G74" s="470"/>
      <c r="H74" s="470"/>
      <c r="I74" s="470"/>
      <c r="J74" s="470"/>
      <c r="K74" s="470"/>
      <c r="L74" s="470"/>
      <c r="M74" s="470"/>
      <c r="N74" s="470"/>
      <c r="O74" s="470"/>
      <c r="P74" s="470"/>
      <c r="Q74" s="470"/>
      <c r="R74" s="470"/>
      <c r="S74" s="470"/>
      <c r="T74" s="923" t="s">
        <v>43</v>
      </c>
      <c r="U74" s="919"/>
      <c r="V74" s="919"/>
      <c r="W74" s="919"/>
      <c r="X74" s="923" t="s">
        <v>43</v>
      </c>
      <c r="Y74" s="919"/>
      <c r="Z74" s="919"/>
      <c r="AA74" s="919"/>
      <c r="AB74" s="920" t="s">
        <v>43</v>
      </c>
    </row>
    <row r="75" spans="1:28" ht="19.5" customHeight="1">
      <c r="A75" s="928"/>
      <c r="B75" s="901"/>
      <c r="C75" s="901"/>
      <c r="D75" s="901"/>
      <c r="E75" s="922"/>
      <c r="F75" s="470"/>
      <c r="G75" s="470"/>
      <c r="H75" s="470"/>
      <c r="I75" s="470"/>
      <c r="J75" s="470"/>
      <c r="K75" s="470"/>
      <c r="L75" s="470"/>
      <c r="M75" s="470"/>
      <c r="N75" s="470"/>
      <c r="O75" s="470"/>
      <c r="P75" s="470"/>
      <c r="Q75" s="470"/>
      <c r="R75" s="470"/>
      <c r="S75" s="470"/>
      <c r="T75" s="923"/>
      <c r="U75" s="919"/>
      <c r="V75" s="919"/>
      <c r="W75" s="919"/>
      <c r="X75" s="923"/>
      <c r="Y75" s="919"/>
      <c r="Z75" s="919"/>
      <c r="AA75" s="919"/>
      <c r="AB75" s="920"/>
    </row>
    <row r="76" spans="1:28" ht="22.5" customHeight="1">
      <c r="A76" s="288" t="s">
        <v>905</v>
      </c>
      <c r="B76" s="901">
        <v>2410</v>
      </c>
      <c r="C76" s="901">
        <v>613</v>
      </c>
      <c r="D76" s="901" t="s">
        <v>18</v>
      </c>
      <c r="E76" s="921" t="s">
        <v>43</v>
      </c>
      <c r="F76" s="470"/>
      <c r="G76" s="470"/>
      <c r="H76" s="470"/>
      <c r="I76" s="470"/>
      <c r="J76" s="470"/>
      <c r="K76" s="470"/>
      <c r="L76" s="470"/>
      <c r="M76" s="470"/>
      <c r="N76" s="470"/>
      <c r="O76" s="470"/>
      <c r="P76" s="470"/>
      <c r="Q76" s="470"/>
      <c r="R76" s="470"/>
      <c r="S76" s="470"/>
      <c r="T76" s="923" t="s">
        <v>43</v>
      </c>
      <c r="U76" s="919"/>
      <c r="V76" s="919"/>
      <c r="W76" s="919"/>
      <c r="X76" s="923" t="s">
        <v>43</v>
      </c>
      <c r="Y76" s="919"/>
      <c r="Z76" s="919"/>
      <c r="AA76" s="919"/>
      <c r="AB76" s="920" t="s">
        <v>43</v>
      </c>
    </row>
    <row r="77" spans="1:28" ht="29.25" customHeight="1">
      <c r="A77" s="288" t="s">
        <v>52</v>
      </c>
      <c r="B77" s="901"/>
      <c r="C77" s="901"/>
      <c r="D77" s="901"/>
      <c r="E77" s="922"/>
      <c r="F77" s="470"/>
      <c r="G77" s="470"/>
      <c r="H77" s="470"/>
      <c r="I77" s="470"/>
      <c r="J77" s="470"/>
      <c r="K77" s="470"/>
      <c r="L77" s="470"/>
      <c r="M77" s="470"/>
      <c r="N77" s="470"/>
      <c r="O77" s="470"/>
      <c r="P77" s="470"/>
      <c r="Q77" s="470"/>
      <c r="R77" s="470"/>
      <c r="S77" s="470"/>
      <c r="T77" s="923"/>
      <c r="U77" s="919"/>
      <c r="V77" s="919"/>
      <c r="W77" s="919"/>
      <c r="X77" s="923"/>
      <c r="Y77" s="919"/>
      <c r="Z77" s="919"/>
      <c r="AA77" s="919"/>
      <c r="AB77" s="920"/>
    </row>
    <row r="78" spans="1:28" ht="28.5" customHeight="1">
      <c r="A78" s="825" t="s">
        <v>927</v>
      </c>
      <c r="B78" s="826">
        <v>2420</v>
      </c>
      <c r="C78" s="826">
        <v>623</v>
      </c>
      <c r="D78" s="826" t="s">
        <v>18</v>
      </c>
      <c r="E78" s="831" t="s">
        <v>43</v>
      </c>
      <c r="F78" s="470"/>
      <c r="G78" s="470"/>
      <c r="H78" s="470"/>
      <c r="I78" s="470"/>
      <c r="J78" s="470"/>
      <c r="K78" s="470"/>
      <c r="L78" s="470"/>
      <c r="M78" s="470"/>
      <c r="N78" s="470"/>
      <c r="O78" s="470"/>
      <c r="P78" s="470"/>
      <c r="Q78" s="470"/>
      <c r="R78" s="470"/>
      <c r="S78" s="470"/>
      <c r="T78" s="833" t="s">
        <v>43</v>
      </c>
      <c r="U78" s="830"/>
      <c r="V78" s="830"/>
      <c r="W78" s="830"/>
      <c r="X78" s="833" t="s">
        <v>43</v>
      </c>
      <c r="Y78" s="830"/>
      <c r="Z78" s="830"/>
      <c r="AA78" s="830"/>
      <c r="AB78" s="827" t="s">
        <v>43</v>
      </c>
    </row>
    <row r="79" spans="1:28" ht="62.25" customHeight="1">
      <c r="A79" s="288" t="s">
        <v>928</v>
      </c>
      <c r="B79" s="289">
        <v>2430</v>
      </c>
      <c r="C79" s="289">
        <v>634</v>
      </c>
      <c r="D79" s="289" t="s">
        <v>18</v>
      </c>
      <c r="E79" s="295" t="s">
        <v>43</v>
      </c>
      <c r="F79" s="470"/>
      <c r="G79" s="470"/>
      <c r="H79" s="470"/>
      <c r="I79" s="470"/>
      <c r="J79" s="470"/>
      <c r="K79" s="470"/>
      <c r="L79" s="470"/>
      <c r="M79" s="470"/>
      <c r="N79" s="470"/>
      <c r="O79" s="470"/>
      <c r="P79" s="470"/>
      <c r="Q79" s="470"/>
      <c r="R79" s="470"/>
      <c r="S79" s="470"/>
      <c r="T79" s="295" t="s">
        <v>43</v>
      </c>
      <c r="U79" s="294"/>
      <c r="V79" s="294"/>
      <c r="W79" s="294"/>
      <c r="X79" s="295" t="s">
        <v>43</v>
      </c>
      <c r="Y79" s="294"/>
      <c r="Z79" s="294"/>
      <c r="AA79" s="294"/>
      <c r="AB79" s="290" t="s">
        <v>43</v>
      </c>
    </row>
    <row r="80" spans="1:28" ht="33" customHeight="1">
      <c r="A80" s="288" t="s">
        <v>929</v>
      </c>
      <c r="B80" s="289">
        <v>2440</v>
      </c>
      <c r="C80" s="289">
        <v>810</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27.75" customHeight="1">
      <c r="A81" s="288" t="s">
        <v>930</v>
      </c>
      <c r="B81" s="289">
        <v>2450</v>
      </c>
      <c r="C81" s="289">
        <v>862</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45">
      <c r="A82" s="288" t="s">
        <v>931</v>
      </c>
      <c r="B82" s="289">
        <v>2460</v>
      </c>
      <c r="C82" s="289">
        <v>863</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25.5" customHeight="1">
      <c r="A83" s="928" t="s">
        <v>932</v>
      </c>
      <c r="B83" s="901">
        <v>2500</v>
      </c>
      <c r="C83" s="901" t="s">
        <v>18</v>
      </c>
      <c r="D83" s="901" t="s">
        <v>18</v>
      </c>
      <c r="E83" s="921">
        <v>0</v>
      </c>
      <c r="F83" s="470"/>
      <c r="G83" s="470"/>
      <c r="H83" s="470"/>
      <c r="I83" s="470"/>
      <c r="J83" s="470"/>
      <c r="K83" s="470"/>
      <c r="L83" s="470"/>
      <c r="M83" s="470"/>
      <c r="N83" s="470"/>
      <c r="O83" s="470"/>
      <c r="P83" s="470"/>
      <c r="Q83" s="470"/>
      <c r="R83" s="470"/>
      <c r="S83" s="470"/>
      <c r="T83" s="923">
        <v>0</v>
      </c>
      <c r="U83" s="919"/>
      <c r="V83" s="919"/>
      <c r="W83" s="919"/>
      <c r="X83" s="923">
        <v>0</v>
      </c>
      <c r="Y83" s="919"/>
      <c r="Z83" s="919"/>
      <c r="AA83" s="919"/>
      <c r="AB83" s="920" t="s">
        <v>43</v>
      </c>
    </row>
    <row r="84" spans="1:28">
      <c r="A84" s="928"/>
      <c r="B84" s="901"/>
      <c r="C84" s="901"/>
      <c r="D84" s="901"/>
      <c r="E84" s="922"/>
      <c r="F84" s="470"/>
      <c r="G84" s="470"/>
      <c r="H84" s="470"/>
      <c r="I84" s="470"/>
      <c r="J84" s="470"/>
      <c r="K84" s="470"/>
      <c r="L84" s="470"/>
      <c r="M84" s="470"/>
      <c r="N84" s="470"/>
      <c r="O84" s="470"/>
      <c r="P84" s="470"/>
      <c r="Q84" s="470"/>
      <c r="R84" s="470"/>
      <c r="S84" s="470"/>
      <c r="T84" s="923"/>
      <c r="U84" s="919"/>
      <c r="V84" s="919"/>
      <c r="W84" s="919"/>
      <c r="X84" s="923"/>
      <c r="Y84" s="919"/>
      <c r="Z84" s="919"/>
      <c r="AA84" s="919"/>
      <c r="AB84" s="920"/>
    </row>
    <row r="85" spans="1:28" ht="60">
      <c r="A85" s="288" t="s">
        <v>933</v>
      </c>
      <c r="B85" s="289">
        <v>2520</v>
      </c>
      <c r="C85" s="289">
        <v>831</v>
      </c>
      <c r="D85" s="289" t="s">
        <v>18</v>
      </c>
      <c r="E85" s="289" t="s">
        <v>43</v>
      </c>
      <c r="F85" s="470"/>
      <c r="G85" s="470"/>
      <c r="H85" s="470"/>
      <c r="I85" s="470"/>
      <c r="J85" s="470"/>
      <c r="K85" s="470"/>
      <c r="L85" s="470"/>
      <c r="M85" s="470"/>
      <c r="N85" s="470"/>
      <c r="O85" s="470"/>
      <c r="P85" s="470"/>
      <c r="Q85" s="470"/>
      <c r="R85" s="470"/>
      <c r="S85" s="470"/>
      <c r="T85" s="289" t="s">
        <v>43</v>
      </c>
      <c r="U85" s="294"/>
      <c r="V85" s="294"/>
      <c r="W85" s="294"/>
      <c r="X85" s="289" t="s">
        <v>43</v>
      </c>
      <c r="Y85" s="294"/>
      <c r="Z85" s="294"/>
      <c r="AA85" s="294"/>
      <c r="AB85" s="290" t="s">
        <v>43</v>
      </c>
    </row>
    <row r="86" spans="1:28">
      <c r="A86" s="928" t="s">
        <v>934</v>
      </c>
      <c r="B86" s="901">
        <v>2600</v>
      </c>
      <c r="C86" s="901" t="s">
        <v>18</v>
      </c>
      <c r="D86" s="901" t="s">
        <v>18</v>
      </c>
      <c r="E86" s="921">
        <f>E92+E102</f>
        <v>29901922.540000003</v>
      </c>
      <c r="F86" s="465"/>
      <c r="G86" s="465"/>
      <c r="H86" s="465"/>
      <c r="I86" s="465"/>
      <c r="J86" s="465"/>
      <c r="K86" s="465"/>
      <c r="L86" s="465"/>
      <c r="M86" s="465"/>
      <c r="N86" s="465"/>
      <c r="O86" s="465"/>
      <c r="P86" s="465"/>
      <c r="Q86" s="465"/>
      <c r="R86" s="465"/>
      <c r="S86" s="465"/>
      <c r="T86" s="921">
        <f t="shared" ref="T86:X86" si="14">T92+T102</f>
        <v>27151751.009999998</v>
      </c>
      <c r="U86" s="921">
        <f t="shared" si="14"/>
        <v>219265.44</v>
      </c>
      <c r="V86" s="921">
        <f t="shared" si="14"/>
        <v>219265.44</v>
      </c>
      <c r="W86" s="921">
        <f t="shared" si="14"/>
        <v>219265.44</v>
      </c>
      <c r="X86" s="921">
        <f t="shared" si="14"/>
        <v>25851783.709999997</v>
      </c>
      <c r="Y86" s="947"/>
      <c r="Z86" s="947"/>
      <c r="AA86" s="947"/>
      <c r="AB86" s="920" t="s">
        <v>43</v>
      </c>
    </row>
    <row r="87" spans="1:28">
      <c r="A87" s="948"/>
      <c r="B87" s="901"/>
      <c r="C87" s="901"/>
      <c r="D87" s="901"/>
      <c r="E87" s="922"/>
      <c r="F87" s="465"/>
      <c r="G87" s="465"/>
      <c r="H87" s="465"/>
      <c r="I87" s="465"/>
      <c r="J87" s="465"/>
      <c r="K87" s="465"/>
      <c r="L87" s="465"/>
      <c r="M87" s="465"/>
      <c r="N87" s="465"/>
      <c r="O87" s="465"/>
      <c r="P87" s="465"/>
      <c r="Q87" s="465"/>
      <c r="R87" s="465"/>
      <c r="S87" s="465"/>
      <c r="T87" s="922"/>
      <c r="U87" s="922"/>
      <c r="V87" s="922"/>
      <c r="W87" s="922"/>
      <c r="X87" s="922"/>
      <c r="Y87" s="947"/>
      <c r="Z87" s="947"/>
      <c r="AA87" s="947"/>
      <c r="AB87" s="920"/>
    </row>
    <row r="88" spans="1:28" ht="18" customHeight="1">
      <c r="A88" s="306" t="s">
        <v>896</v>
      </c>
      <c r="B88" s="950">
        <v>2610</v>
      </c>
      <c r="C88" s="901">
        <v>241</v>
      </c>
      <c r="D88" s="901" t="s">
        <v>18</v>
      </c>
      <c r="E88" s="907" t="s">
        <v>43</v>
      </c>
      <c r="F88" s="465"/>
      <c r="G88" s="465"/>
      <c r="H88" s="465"/>
      <c r="I88" s="465"/>
      <c r="J88" s="465"/>
      <c r="K88" s="465"/>
      <c r="L88" s="465"/>
      <c r="M88" s="465"/>
      <c r="N88" s="465"/>
      <c r="O88" s="465"/>
      <c r="P88" s="465"/>
      <c r="Q88" s="465"/>
      <c r="R88" s="465"/>
      <c r="S88" s="465"/>
      <c r="T88" s="901" t="s">
        <v>43</v>
      </c>
      <c r="U88" s="951"/>
      <c r="V88" s="307"/>
      <c r="W88" s="307"/>
      <c r="X88" s="901" t="s">
        <v>43</v>
      </c>
      <c r="Y88" s="951"/>
      <c r="Z88" s="307"/>
      <c r="AA88" s="307"/>
      <c r="AB88" s="920" t="s">
        <v>43</v>
      </c>
    </row>
    <row r="89" spans="1:28" ht="36.75" customHeight="1">
      <c r="A89" s="308" t="s">
        <v>935</v>
      </c>
      <c r="B89" s="950"/>
      <c r="C89" s="901"/>
      <c r="D89" s="901"/>
      <c r="E89" s="908"/>
      <c r="F89" s="465"/>
      <c r="G89" s="465"/>
      <c r="H89" s="465"/>
      <c r="I89" s="465"/>
      <c r="J89" s="465"/>
      <c r="K89" s="465"/>
      <c r="L89" s="465"/>
      <c r="M89" s="465"/>
      <c r="N89" s="465"/>
      <c r="O89" s="465"/>
      <c r="P89" s="465"/>
      <c r="Q89" s="465"/>
      <c r="R89" s="465"/>
      <c r="S89" s="465"/>
      <c r="T89" s="901"/>
      <c r="U89" s="951"/>
      <c r="V89" s="307"/>
      <c r="W89" s="307"/>
      <c r="X89" s="901"/>
      <c r="Y89" s="951"/>
      <c r="Z89" s="307"/>
      <c r="AA89" s="307"/>
      <c r="AB89" s="920"/>
    </row>
    <row r="90" spans="1:28">
      <c r="A90" s="949" t="s">
        <v>936</v>
      </c>
      <c r="B90" s="901">
        <v>2630</v>
      </c>
      <c r="C90" s="901">
        <v>243</v>
      </c>
      <c r="D90" s="901" t="s">
        <v>18</v>
      </c>
      <c r="E90" s="907" t="s">
        <v>43</v>
      </c>
      <c r="F90" s="465"/>
      <c r="G90" s="465"/>
      <c r="H90" s="465"/>
      <c r="I90" s="465"/>
      <c r="J90" s="465"/>
      <c r="K90" s="465"/>
      <c r="L90" s="465"/>
      <c r="M90" s="465"/>
      <c r="N90" s="465"/>
      <c r="O90" s="465"/>
      <c r="P90" s="465"/>
      <c r="Q90" s="465"/>
      <c r="R90" s="465"/>
      <c r="S90" s="465"/>
      <c r="T90" s="901" t="s">
        <v>43</v>
      </c>
      <c r="U90" s="307"/>
      <c r="V90" s="307"/>
      <c r="W90" s="307"/>
      <c r="X90" s="901" t="s">
        <v>43</v>
      </c>
      <c r="Y90" s="307"/>
      <c r="Z90" s="307"/>
      <c r="AA90" s="307"/>
      <c r="AB90" s="920" t="s">
        <v>43</v>
      </c>
    </row>
    <row r="91" spans="1:28" ht="30" customHeight="1">
      <c r="A91" s="928"/>
      <c r="B91" s="901"/>
      <c r="C91" s="901"/>
      <c r="D91" s="901"/>
      <c r="E91" s="908"/>
      <c r="F91" s="465"/>
      <c r="G91" s="465"/>
      <c r="H91" s="465"/>
      <c r="I91" s="465"/>
      <c r="J91" s="465"/>
      <c r="K91" s="465"/>
      <c r="L91" s="465"/>
      <c r="M91" s="465"/>
      <c r="N91" s="465"/>
      <c r="O91" s="465"/>
      <c r="P91" s="465"/>
      <c r="Q91" s="465"/>
      <c r="R91" s="465"/>
      <c r="S91" s="465"/>
      <c r="T91" s="901"/>
      <c r="U91" s="307"/>
      <c r="V91" s="307"/>
      <c r="W91" s="307"/>
      <c r="X91" s="901"/>
      <c r="Y91" s="307"/>
      <c r="Z91" s="307"/>
      <c r="AA91" s="307"/>
      <c r="AB91" s="920"/>
    </row>
    <row r="92" spans="1:28" s="12" customFormat="1" ht="30">
      <c r="A92" s="296" t="s">
        <v>937</v>
      </c>
      <c r="B92" s="297">
        <v>2640</v>
      </c>
      <c r="C92" s="297">
        <v>244</v>
      </c>
      <c r="D92" s="301" t="s">
        <v>427</v>
      </c>
      <c r="E92" s="300">
        <f>SUM(E94:E101)</f>
        <v>29736578.540000003</v>
      </c>
      <c r="F92" s="443"/>
      <c r="G92" s="443"/>
      <c r="H92" s="443"/>
      <c r="I92" s="443"/>
      <c r="J92" s="443"/>
      <c r="K92" s="443"/>
      <c r="L92" s="443"/>
      <c r="M92" s="443"/>
      <c r="N92" s="443"/>
      <c r="O92" s="443"/>
      <c r="P92" s="443"/>
      <c r="Q92" s="443"/>
      <c r="R92" s="443"/>
      <c r="S92" s="443"/>
      <c r="T92" s="791">
        <f t="shared" ref="T92:X92" si="15">SUM(T94:T101)</f>
        <v>27092109.529999997</v>
      </c>
      <c r="U92" s="791">
        <f t="shared" si="15"/>
        <v>219265.44</v>
      </c>
      <c r="V92" s="791">
        <f t="shared" si="15"/>
        <v>219265.44</v>
      </c>
      <c r="W92" s="791">
        <f t="shared" si="15"/>
        <v>219265.44</v>
      </c>
      <c r="X92" s="791">
        <f t="shared" si="15"/>
        <v>25789846.129999999</v>
      </c>
      <c r="Y92" s="13">
        <f>[1]Лист10!R96+[1]Лист10!N120+[1]Лист11!O46+[1]Лист11!O69+[1]Лист12!K14+[1]Лист12!L110+[1]Лист12!L295</f>
        <v>4781922.4399999995</v>
      </c>
      <c r="Z92" s="13">
        <f>[1]Лист10!R84+[1]Лист10!N109+[1]Лист10!N138+[1]Лист11!N19+[1]Лист11!O34+[1]Лист11!O59+[1]Лист12!N36+[1]Лист12!L52+[1]Лист12!L62+[1]Лист12!L243</f>
        <v>8148592.71</v>
      </c>
      <c r="AA92" s="13">
        <v>0</v>
      </c>
      <c r="AB92" s="299" t="s">
        <v>43</v>
      </c>
    </row>
    <row r="93" spans="1:28" s="181" customFormat="1" hidden="1">
      <c r="A93" s="174" t="s">
        <v>45</v>
      </c>
      <c r="B93" s="175" t="s">
        <v>18</v>
      </c>
      <c r="C93" s="175" t="s">
        <v>18</v>
      </c>
      <c r="D93" s="175" t="s">
        <v>18</v>
      </c>
      <c r="E93" s="176" t="s">
        <v>18</v>
      </c>
      <c r="F93" s="465"/>
      <c r="G93" s="465"/>
      <c r="H93" s="465"/>
      <c r="I93" s="465"/>
      <c r="J93" s="465"/>
      <c r="K93" s="465"/>
      <c r="L93" s="465"/>
      <c r="M93" s="465"/>
      <c r="N93" s="465"/>
      <c r="O93" s="465"/>
      <c r="P93" s="465"/>
      <c r="Q93" s="465"/>
      <c r="R93" s="465"/>
      <c r="S93" s="465"/>
      <c r="T93" s="176" t="s">
        <v>18</v>
      </c>
      <c r="U93" s="177"/>
      <c r="V93" s="177"/>
      <c r="W93" s="177"/>
      <c r="X93" s="178" t="s">
        <v>18</v>
      </c>
      <c r="Y93" s="179"/>
      <c r="Z93" s="177"/>
      <c r="AA93" s="177"/>
      <c r="AB93" s="180" t="s">
        <v>18</v>
      </c>
    </row>
    <row r="94" spans="1:28" s="123" customFormat="1" hidden="1">
      <c r="A94" s="182" t="s">
        <v>53</v>
      </c>
      <c r="B94" s="183">
        <v>2641</v>
      </c>
      <c r="C94" s="183">
        <v>244</v>
      </c>
      <c r="D94" s="183">
        <v>221</v>
      </c>
      <c r="E94" s="184">
        <f>255436.02</f>
        <v>255436.02</v>
      </c>
      <c r="F94" s="474"/>
      <c r="G94" s="474"/>
      <c r="H94" s="474"/>
      <c r="I94" s="474"/>
      <c r="J94" s="474"/>
      <c r="K94" s="474"/>
      <c r="L94" s="474"/>
      <c r="M94" s="474"/>
      <c r="N94" s="474"/>
      <c r="O94" s="474"/>
      <c r="P94" s="474"/>
      <c r="Q94" s="474"/>
      <c r="R94" s="474"/>
      <c r="S94" s="474"/>
      <c r="T94" s="184">
        <f>255436.02</f>
        <v>255436.02</v>
      </c>
      <c r="U94" s="184">
        <v>219265.44</v>
      </c>
      <c r="V94" s="184">
        <v>219265.44</v>
      </c>
      <c r="W94" s="184">
        <v>219265.44</v>
      </c>
      <c r="X94" s="184">
        <f>255436.02</f>
        <v>255436.02</v>
      </c>
      <c r="Y94" s="185">
        <v>181320</v>
      </c>
      <c r="Z94" s="185">
        <v>108464.16</v>
      </c>
      <c r="AA94" s="185">
        <v>0</v>
      </c>
      <c r="AB94" s="186" t="s">
        <v>43</v>
      </c>
    </row>
    <row r="95" spans="1:28" s="123" customFormat="1" hidden="1">
      <c r="A95" s="182" t="s">
        <v>54</v>
      </c>
      <c r="B95" s="183">
        <v>2641</v>
      </c>
      <c r="C95" s="183">
        <v>244</v>
      </c>
      <c r="D95" s="183">
        <v>222</v>
      </c>
      <c r="E95" s="184">
        <f>100000+444751.25+149999.4</f>
        <v>694750.65</v>
      </c>
      <c r="F95" s="474"/>
      <c r="G95" s="474"/>
      <c r="H95" s="474"/>
      <c r="I95" s="474"/>
      <c r="J95" s="474"/>
      <c r="K95" s="474"/>
      <c r="L95" s="474"/>
      <c r="M95" s="474"/>
      <c r="N95" s="474"/>
      <c r="O95" s="474"/>
      <c r="P95" s="474"/>
      <c r="Q95" s="474"/>
      <c r="R95" s="474"/>
      <c r="S95" s="474"/>
      <c r="T95" s="184">
        <f>100000+444751.25</f>
        <v>544751.25</v>
      </c>
      <c r="U95" s="184"/>
      <c r="V95" s="184"/>
      <c r="W95" s="184"/>
      <c r="X95" s="184">
        <f>100000+444751.25</f>
        <v>544751.25</v>
      </c>
      <c r="Y95" s="185">
        <v>405383.61</v>
      </c>
      <c r="Z95" s="185">
        <v>79311.92</v>
      </c>
      <c r="AA95" s="185">
        <v>0</v>
      </c>
      <c r="AB95" s="186" t="s">
        <v>43</v>
      </c>
    </row>
    <row r="96" spans="1:28" s="123" customFormat="1" hidden="1">
      <c r="A96" s="182" t="s">
        <v>55</v>
      </c>
      <c r="B96" s="183">
        <v>2641</v>
      </c>
      <c r="C96" s="183">
        <v>244</v>
      </c>
      <c r="D96" s="183">
        <v>223</v>
      </c>
      <c r="E96" s="184">
        <v>0</v>
      </c>
      <c r="F96" s="474"/>
      <c r="G96" s="474"/>
      <c r="H96" s="474"/>
      <c r="I96" s="474"/>
      <c r="J96" s="474"/>
      <c r="K96" s="474"/>
      <c r="L96" s="474"/>
      <c r="M96" s="474"/>
      <c r="N96" s="474"/>
      <c r="O96" s="474"/>
      <c r="P96" s="474"/>
      <c r="Q96" s="474"/>
      <c r="R96" s="474"/>
      <c r="S96" s="474"/>
      <c r="T96" s="184">
        <v>0</v>
      </c>
      <c r="U96" s="184"/>
      <c r="V96" s="184"/>
      <c r="W96" s="184"/>
      <c r="X96" s="184">
        <v>0</v>
      </c>
      <c r="Y96" s="185">
        <v>0</v>
      </c>
      <c r="Z96" s="185">
        <v>2057755.88</v>
      </c>
      <c r="AA96" s="185">
        <v>0</v>
      </c>
      <c r="AB96" s="186" t="s">
        <v>43</v>
      </c>
    </row>
    <row r="97" spans="1:28" s="123" customFormat="1" hidden="1">
      <c r="A97" s="182" t="s">
        <v>56</v>
      </c>
      <c r="B97" s="183">
        <v>2641</v>
      </c>
      <c r="C97" s="183">
        <v>244</v>
      </c>
      <c r="D97" s="183">
        <v>224</v>
      </c>
      <c r="E97" s="184">
        <f>14628135.94+2124892.2</f>
        <v>16753028.140000001</v>
      </c>
      <c r="F97" s="474"/>
      <c r="G97" s="474"/>
      <c r="H97" s="474"/>
      <c r="I97" s="474"/>
      <c r="J97" s="474"/>
      <c r="K97" s="474"/>
      <c r="L97" s="474"/>
      <c r="M97" s="474"/>
      <c r="N97" s="474"/>
      <c r="O97" s="474"/>
      <c r="P97" s="474"/>
      <c r="Q97" s="474"/>
      <c r="R97" s="474"/>
      <c r="S97" s="474"/>
      <c r="T97" s="184">
        <v>14628840.630000001</v>
      </c>
      <c r="U97" s="185"/>
      <c r="V97" s="185"/>
      <c r="W97" s="183"/>
      <c r="X97" s="184">
        <v>14647070.91</v>
      </c>
      <c r="Y97" s="185">
        <v>32196.28</v>
      </c>
      <c r="Z97" s="185">
        <v>1952688.71</v>
      </c>
      <c r="AA97" s="185">
        <v>0</v>
      </c>
      <c r="AB97" s="186" t="s">
        <v>43</v>
      </c>
    </row>
    <row r="98" spans="1:28" s="123" customFormat="1" hidden="1">
      <c r="A98" s="182" t="s">
        <v>57</v>
      </c>
      <c r="B98" s="183">
        <v>2641</v>
      </c>
      <c r="C98" s="183">
        <v>244</v>
      </c>
      <c r="D98" s="183">
        <v>225</v>
      </c>
      <c r="E98" s="184">
        <f>199466.03+1257661.24+28789.22+48203.53-172950.26+70000+36778</f>
        <v>1467947.76</v>
      </c>
      <c r="F98" s="474"/>
      <c r="G98" s="474"/>
      <c r="H98" s="474"/>
      <c r="I98" s="474"/>
      <c r="J98" s="474"/>
      <c r="K98" s="474"/>
      <c r="L98" s="474"/>
      <c r="M98" s="474"/>
      <c r="N98" s="474"/>
      <c r="O98" s="474"/>
      <c r="P98" s="474"/>
      <c r="Q98" s="474"/>
      <c r="R98" s="474"/>
      <c r="S98" s="474"/>
      <c r="T98" s="184">
        <f>199466.03+1257661.24+27112.8</f>
        <v>1484240.07</v>
      </c>
      <c r="U98" s="185"/>
      <c r="V98" s="185"/>
      <c r="W98" s="183"/>
      <c r="X98" s="184">
        <f>199466.03+1257661.23+12565.55</f>
        <v>1469692.81</v>
      </c>
      <c r="Y98" s="185">
        <v>32196.28</v>
      </c>
      <c r="Z98" s="185">
        <v>1952688.71</v>
      </c>
      <c r="AA98" s="185">
        <v>0</v>
      </c>
      <c r="AB98" s="186" t="s">
        <v>43</v>
      </c>
    </row>
    <row r="99" spans="1:28" s="123" customFormat="1" hidden="1">
      <c r="A99" s="182" t="s">
        <v>58</v>
      </c>
      <c r="B99" s="183">
        <v>2641</v>
      </c>
      <c r="C99" s="183">
        <v>244</v>
      </c>
      <c r="D99" s="183">
        <v>226</v>
      </c>
      <c r="E99" s="184">
        <f>2525988+1175831.18+712876.28+1925965.96+9866.64+52863.26+882328+27000</f>
        <v>7312719.3199999994</v>
      </c>
      <c r="F99" s="474"/>
      <c r="G99" s="474"/>
      <c r="H99" s="474"/>
      <c r="I99" s="474"/>
      <c r="J99" s="474"/>
      <c r="K99" s="474"/>
      <c r="L99" s="474"/>
      <c r="M99" s="474"/>
      <c r="N99" s="474"/>
      <c r="O99" s="474"/>
      <c r="P99" s="474"/>
      <c r="Q99" s="474"/>
      <c r="R99" s="474"/>
      <c r="S99" s="474"/>
      <c r="T99" s="184">
        <f>2607988+500000+1175831.18+853121.93+2862889.65+6166.65</f>
        <v>8005997.4100000001</v>
      </c>
      <c r="U99" s="185"/>
      <c r="V99" s="185"/>
      <c r="W99" s="183"/>
      <c r="X99" s="184">
        <f>2697988+1179052.63+879106.08+1813830.99+7700</f>
        <v>6577677.7000000002</v>
      </c>
      <c r="Y99" s="185">
        <v>2742231.09</v>
      </c>
      <c r="Z99" s="185">
        <v>3644044.04</v>
      </c>
      <c r="AA99" s="185">
        <v>0</v>
      </c>
      <c r="AB99" s="186" t="s">
        <v>43</v>
      </c>
    </row>
    <row r="100" spans="1:28" s="123" customFormat="1" hidden="1">
      <c r="A100" s="182" t="s">
        <v>59</v>
      </c>
      <c r="B100" s="183">
        <v>2641</v>
      </c>
      <c r="C100" s="183">
        <v>244</v>
      </c>
      <c r="D100" s="183">
        <v>310</v>
      </c>
      <c r="E100" s="184">
        <f>200000+577813.83</f>
        <v>777813.83</v>
      </c>
      <c r="F100" s="473"/>
      <c r="G100" s="473"/>
      <c r="H100" s="473"/>
      <c r="I100" s="473"/>
      <c r="J100" s="473"/>
      <c r="K100" s="473"/>
      <c r="L100" s="473"/>
      <c r="M100" s="473"/>
      <c r="N100" s="473"/>
      <c r="O100" s="473"/>
      <c r="P100" s="473"/>
      <c r="Q100" s="473"/>
      <c r="R100" s="473"/>
      <c r="S100" s="473"/>
      <c r="T100" s="184">
        <v>200000</v>
      </c>
      <c r="U100" s="185"/>
      <c r="V100" s="185"/>
      <c r="W100" s="183"/>
      <c r="X100" s="184">
        <v>200000</v>
      </c>
      <c r="Y100" s="185">
        <v>76395.55</v>
      </c>
      <c r="Z100" s="185">
        <v>0</v>
      </c>
      <c r="AA100" s="185">
        <v>0</v>
      </c>
      <c r="AB100" s="186" t="s">
        <v>43</v>
      </c>
    </row>
    <row r="101" spans="1:28" s="123" customFormat="1" hidden="1">
      <c r="A101" s="182" t="s">
        <v>60</v>
      </c>
      <c r="B101" s="183">
        <v>2641</v>
      </c>
      <c r="C101" s="183">
        <v>244</v>
      </c>
      <c r="D101" s="183">
        <v>340</v>
      </c>
      <c r="E101" s="184">
        <f>2038731.32+436151.5</f>
        <v>2474882.8200000003</v>
      </c>
      <c r="F101" s="473"/>
      <c r="G101" s="473"/>
      <c r="H101" s="473"/>
      <c r="I101" s="473"/>
      <c r="J101" s="473"/>
      <c r="K101" s="473"/>
      <c r="L101" s="473"/>
      <c r="M101" s="473"/>
      <c r="N101" s="473"/>
      <c r="O101" s="473"/>
      <c r="P101" s="473"/>
      <c r="Q101" s="473"/>
      <c r="R101" s="473"/>
      <c r="S101" s="473"/>
      <c r="T101" s="184">
        <v>1972844.15</v>
      </c>
      <c r="U101" s="185"/>
      <c r="V101" s="185"/>
      <c r="W101" s="183"/>
      <c r="X101" s="184">
        <v>2095217.44</v>
      </c>
      <c r="Y101" s="185">
        <v>51330</v>
      </c>
      <c r="Z101" s="185">
        <v>0</v>
      </c>
      <c r="AA101" s="185">
        <v>0</v>
      </c>
      <c r="AB101" s="186" t="s">
        <v>43</v>
      </c>
    </row>
    <row r="102" spans="1:28" s="93" customFormat="1" ht="24.75" customHeight="1">
      <c r="A102" s="288" t="s">
        <v>938</v>
      </c>
      <c r="B102" s="530">
        <v>2650</v>
      </c>
      <c r="C102" s="530">
        <v>247</v>
      </c>
      <c r="D102" s="289" t="s">
        <v>18</v>
      </c>
      <c r="E102" s="885">
        <f>58559.07+3834.67+102950.26</f>
        <v>165344</v>
      </c>
      <c r="F102" s="886"/>
      <c r="G102" s="886"/>
      <c r="H102" s="886"/>
      <c r="I102" s="886"/>
      <c r="J102" s="886"/>
      <c r="K102" s="886"/>
      <c r="L102" s="886"/>
      <c r="M102" s="886"/>
      <c r="N102" s="886"/>
      <c r="O102" s="886"/>
      <c r="P102" s="886"/>
      <c r="Q102" s="886"/>
      <c r="R102" s="886"/>
      <c r="S102" s="886"/>
      <c r="T102" s="885">
        <f>59641.48</f>
        <v>59641.48</v>
      </c>
      <c r="U102" s="887"/>
      <c r="V102" s="887"/>
      <c r="W102" s="887"/>
      <c r="X102" s="885">
        <f>61937.58</f>
        <v>61937.58</v>
      </c>
      <c r="Y102" s="16"/>
      <c r="Z102" s="307"/>
      <c r="AA102" s="307"/>
      <c r="AB102" s="290" t="s">
        <v>43</v>
      </c>
    </row>
    <row r="103" spans="1:28" ht="30">
      <c r="A103" s="288" t="s">
        <v>939</v>
      </c>
      <c r="B103" s="530">
        <v>2700</v>
      </c>
      <c r="C103" s="530">
        <v>400</v>
      </c>
      <c r="D103" s="289" t="s">
        <v>18</v>
      </c>
      <c r="E103" s="289" t="s">
        <v>43</v>
      </c>
      <c r="F103" s="465"/>
      <c r="G103" s="465"/>
      <c r="H103" s="465"/>
      <c r="I103" s="465"/>
      <c r="J103" s="465"/>
      <c r="K103" s="465"/>
      <c r="L103" s="465"/>
      <c r="M103" s="465"/>
      <c r="N103" s="465"/>
      <c r="O103" s="465"/>
      <c r="P103" s="465"/>
      <c r="Q103" s="465"/>
      <c r="R103" s="465"/>
      <c r="S103" s="465"/>
      <c r="T103" s="289" t="s">
        <v>43</v>
      </c>
      <c r="U103" s="16"/>
      <c r="V103" s="307"/>
      <c r="W103" s="307"/>
      <c r="X103" s="289" t="s">
        <v>43</v>
      </c>
      <c r="Y103" s="16"/>
      <c r="Z103" s="307"/>
      <c r="AA103" s="307"/>
      <c r="AB103" s="290" t="s">
        <v>43</v>
      </c>
    </row>
    <row r="104" spans="1:28" ht="30">
      <c r="A104" s="288" t="s">
        <v>940</v>
      </c>
      <c r="B104" s="530">
        <v>2710</v>
      </c>
      <c r="C104" s="530">
        <v>406</v>
      </c>
      <c r="D104" s="289" t="s">
        <v>18</v>
      </c>
      <c r="E104" s="289" t="s">
        <v>43</v>
      </c>
      <c r="F104" s="465"/>
      <c r="G104" s="465"/>
      <c r="H104" s="465"/>
      <c r="I104" s="465"/>
      <c r="J104" s="465"/>
      <c r="K104" s="465"/>
      <c r="L104" s="465"/>
      <c r="M104" s="465"/>
      <c r="N104" s="465"/>
      <c r="O104" s="465"/>
      <c r="P104" s="465"/>
      <c r="Q104" s="465"/>
      <c r="R104" s="465"/>
      <c r="S104" s="465"/>
      <c r="T104" s="289" t="s">
        <v>43</v>
      </c>
      <c r="U104" s="16"/>
      <c r="V104" s="307"/>
      <c r="W104" s="307"/>
      <c r="X104" s="289" t="s">
        <v>43</v>
      </c>
      <c r="Y104" s="16"/>
      <c r="Z104" s="307"/>
      <c r="AA104" s="307"/>
      <c r="AB104" s="290" t="s">
        <v>43</v>
      </c>
    </row>
    <row r="105" spans="1:28" ht="30">
      <c r="A105" s="288" t="s">
        <v>941</v>
      </c>
      <c r="B105" s="530">
        <v>2720</v>
      </c>
      <c r="C105" s="530">
        <v>407</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s="93" customFormat="1" ht="21.75" customHeight="1">
      <c r="A106" s="785" t="s">
        <v>942</v>
      </c>
      <c r="B106" s="789">
        <v>2800</v>
      </c>
      <c r="C106" s="789">
        <v>880</v>
      </c>
      <c r="D106" s="786" t="s">
        <v>18</v>
      </c>
      <c r="E106" s="786" t="s">
        <v>43</v>
      </c>
      <c r="F106" s="465"/>
      <c r="G106" s="465"/>
      <c r="H106" s="465"/>
      <c r="I106" s="465"/>
      <c r="J106" s="465"/>
      <c r="K106" s="465"/>
      <c r="L106" s="465"/>
      <c r="M106" s="465"/>
      <c r="N106" s="465"/>
      <c r="O106" s="465"/>
      <c r="P106" s="465"/>
      <c r="Q106" s="465"/>
      <c r="R106" s="465"/>
      <c r="S106" s="465"/>
      <c r="T106" s="786" t="s">
        <v>43</v>
      </c>
      <c r="U106" s="16"/>
      <c r="V106" s="788"/>
      <c r="W106" s="788"/>
      <c r="X106" s="786" t="s">
        <v>43</v>
      </c>
      <c r="Y106" s="16"/>
      <c r="Z106" s="788"/>
      <c r="AA106" s="788"/>
      <c r="AB106" s="787" t="s">
        <v>43</v>
      </c>
    </row>
    <row r="107" spans="1:28">
      <c r="A107" s="928" t="s">
        <v>42</v>
      </c>
      <c r="B107" s="901">
        <v>3000</v>
      </c>
      <c r="C107" s="901">
        <v>100</v>
      </c>
      <c r="D107" s="920" t="s">
        <v>18</v>
      </c>
      <c r="E107" s="954">
        <f>E113</f>
        <v>-250000</v>
      </c>
      <c r="F107" s="471"/>
      <c r="G107" s="471"/>
      <c r="H107" s="471"/>
      <c r="I107" s="471"/>
      <c r="J107" s="471"/>
      <c r="K107" s="471"/>
      <c r="L107" s="471"/>
      <c r="M107" s="471"/>
      <c r="N107" s="471"/>
      <c r="O107" s="471"/>
      <c r="P107" s="471"/>
      <c r="Q107" s="471"/>
      <c r="R107" s="471"/>
      <c r="S107" s="471"/>
      <c r="T107" s="917" t="s">
        <v>43</v>
      </c>
      <c r="U107" s="790"/>
      <c r="V107" s="790"/>
      <c r="W107" s="790"/>
      <c r="X107" s="917" t="s">
        <v>43</v>
      </c>
      <c r="Y107" s="289"/>
      <c r="Z107" s="289"/>
      <c r="AA107" s="289"/>
      <c r="AB107" s="920" t="s">
        <v>18</v>
      </c>
    </row>
    <row r="108" spans="1:28">
      <c r="A108" s="928"/>
      <c r="B108" s="901"/>
      <c r="C108" s="901"/>
      <c r="D108" s="920"/>
      <c r="E108" s="955"/>
      <c r="F108" s="471"/>
      <c r="G108" s="471"/>
      <c r="H108" s="471"/>
      <c r="I108" s="471"/>
      <c r="J108" s="471"/>
      <c r="K108" s="471"/>
      <c r="L108" s="471"/>
      <c r="M108" s="471"/>
      <c r="N108" s="471"/>
      <c r="O108" s="471"/>
      <c r="P108" s="471"/>
      <c r="Q108" s="471"/>
      <c r="R108" s="471"/>
      <c r="S108" s="471"/>
      <c r="T108" s="918"/>
      <c r="U108" s="790"/>
      <c r="V108" s="790"/>
      <c r="W108" s="790"/>
      <c r="X108" s="918"/>
      <c r="Y108" s="289"/>
      <c r="Z108" s="289"/>
      <c r="AA108" s="289"/>
      <c r="AB108" s="920"/>
    </row>
    <row r="109" spans="1:28" s="160" customFormat="1" hidden="1">
      <c r="A109" s="157" t="s">
        <v>22</v>
      </c>
      <c r="B109" s="167" t="s">
        <v>18</v>
      </c>
      <c r="C109" s="167" t="s">
        <v>18</v>
      </c>
      <c r="D109" s="159" t="s">
        <v>18</v>
      </c>
      <c r="E109" s="159" t="s">
        <v>18</v>
      </c>
      <c r="F109" s="471"/>
      <c r="G109" s="471"/>
      <c r="H109" s="471"/>
      <c r="I109" s="471"/>
      <c r="J109" s="471"/>
      <c r="K109" s="471"/>
      <c r="L109" s="471"/>
      <c r="M109" s="471"/>
      <c r="N109" s="471"/>
      <c r="O109" s="471"/>
      <c r="P109" s="471"/>
      <c r="Q109" s="471"/>
      <c r="R109" s="471"/>
      <c r="S109" s="471"/>
      <c r="T109" s="159" t="s">
        <v>18</v>
      </c>
      <c r="U109" s="159"/>
      <c r="V109" s="159"/>
      <c r="W109" s="159"/>
      <c r="X109" s="159" t="s">
        <v>18</v>
      </c>
      <c r="Y109" s="158"/>
      <c r="Z109" s="158"/>
      <c r="AA109" s="158"/>
      <c r="AB109" s="159" t="s">
        <v>18</v>
      </c>
    </row>
    <row r="110" spans="1:28" ht="30">
      <c r="A110" s="288" t="s">
        <v>943</v>
      </c>
      <c r="B110" s="289">
        <v>3010</v>
      </c>
      <c r="C110" s="289">
        <v>180</v>
      </c>
      <c r="D110" s="290" t="s">
        <v>18</v>
      </c>
      <c r="E110" s="290" t="s">
        <v>43</v>
      </c>
      <c r="F110" s="471"/>
      <c r="G110" s="471"/>
      <c r="H110" s="471"/>
      <c r="I110" s="471"/>
      <c r="J110" s="471"/>
      <c r="K110" s="471"/>
      <c r="L110" s="471"/>
      <c r="M110" s="471"/>
      <c r="N110" s="471"/>
      <c r="O110" s="471"/>
      <c r="P110" s="471"/>
      <c r="Q110" s="471"/>
      <c r="R110" s="471"/>
      <c r="S110" s="471"/>
      <c r="T110" s="290" t="s">
        <v>43</v>
      </c>
      <c r="U110" s="290"/>
      <c r="V110" s="290"/>
      <c r="W110" s="290"/>
      <c r="X110" s="290" t="s">
        <v>43</v>
      </c>
      <c r="Y110" s="289"/>
      <c r="Z110" s="289"/>
      <c r="AA110" s="289"/>
      <c r="AB110" s="290" t="s">
        <v>18</v>
      </c>
    </row>
    <row r="111" spans="1:28" ht="7.5" customHeight="1">
      <c r="A111" s="928" t="s">
        <v>944</v>
      </c>
      <c r="B111" s="901">
        <v>3020</v>
      </c>
      <c r="C111" s="901">
        <v>180</v>
      </c>
      <c r="D111" s="920" t="s">
        <v>18</v>
      </c>
      <c r="E111" s="917" t="s">
        <v>43</v>
      </c>
      <c r="F111" s="471"/>
      <c r="G111" s="471"/>
      <c r="H111" s="471"/>
      <c r="I111" s="471"/>
      <c r="J111" s="471"/>
      <c r="K111" s="471"/>
      <c r="L111" s="471"/>
      <c r="M111" s="471"/>
      <c r="N111" s="471"/>
      <c r="O111" s="471"/>
      <c r="P111" s="471"/>
      <c r="Q111" s="471"/>
      <c r="R111" s="471"/>
      <c r="S111" s="471"/>
      <c r="T111" s="920" t="s">
        <v>43</v>
      </c>
      <c r="U111" s="290"/>
      <c r="V111" s="290"/>
      <c r="W111" s="290"/>
      <c r="X111" s="920" t="s">
        <v>43</v>
      </c>
      <c r="Y111" s="289"/>
      <c r="Z111" s="289"/>
      <c r="AA111" s="289"/>
      <c r="AB111" s="920" t="s">
        <v>18</v>
      </c>
    </row>
    <row r="112" spans="1:28">
      <c r="A112" s="928"/>
      <c r="B112" s="901"/>
      <c r="C112" s="901"/>
      <c r="D112" s="920"/>
      <c r="E112" s="918"/>
      <c r="F112" s="471"/>
      <c r="G112" s="471"/>
      <c r="H112" s="471"/>
      <c r="I112" s="471"/>
      <c r="J112" s="471"/>
      <c r="K112" s="471"/>
      <c r="L112" s="471"/>
      <c r="M112" s="471"/>
      <c r="N112" s="471"/>
      <c r="O112" s="471"/>
      <c r="P112" s="471"/>
      <c r="Q112" s="471"/>
      <c r="R112" s="471"/>
      <c r="S112" s="471"/>
      <c r="T112" s="920"/>
      <c r="U112" s="290"/>
      <c r="V112" s="290"/>
      <c r="W112" s="290"/>
      <c r="X112" s="920"/>
      <c r="Y112" s="289"/>
      <c r="Z112" s="289"/>
      <c r="AA112" s="289"/>
      <c r="AB112" s="920"/>
    </row>
    <row r="113" spans="1:28" ht="9" customHeight="1">
      <c r="A113" s="928" t="s">
        <v>894</v>
      </c>
      <c r="B113" s="901">
        <v>3030</v>
      </c>
      <c r="C113" s="901">
        <v>180</v>
      </c>
      <c r="D113" s="920" t="s">
        <v>18</v>
      </c>
      <c r="E113" s="917">
        <v>-250000</v>
      </c>
      <c r="F113" s="471"/>
      <c r="G113" s="471"/>
      <c r="H113" s="471"/>
      <c r="I113" s="471"/>
      <c r="J113" s="471"/>
      <c r="K113" s="471"/>
      <c r="L113" s="471"/>
      <c r="M113" s="471"/>
      <c r="N113" s="471"/>
      <c r="O113" s="471"/>
      <c r="P113" s="471"/>
      <c r="Q113" s="471"/>
      <c r="R113" s="471"/>
      <c r="S113" s="471"/>
      <c r="T113" s="920" t="s">
        <v>43</v>
      </c>
      <c r="U113" s="290"/>
      <c r="V113" s="290"/>
      <c r="W113" s="290"/>
      <c r="X113" s="920" t="s">
        <v>43</v>
      </c>
      <c r="Y113" s="289"/>
      <c r="Z113" s="289"/>
      <c r="AA113" s="289"/>
      <c r="AB113" s="920" t="s">
        <v>18</v>
      </c>
    </row>
    <row r="114" spans="1:28">
      <c r="A114" s="928"/>
      <c r="B114" s="901"/>
      <c r="C114" s="901"/>
      <c r="D114" s="920"/>
      <c r="E114" s="918"/>
      <c r="F114" s="471"/>
      <c r="G114" s="471"/>
      <c r="H114" s="471"/>
      <c r="I114" s="471"/>
      <c r="J114" s="471"/>
      <c r="K114" s="471"/>
      <c r="L114" s="471"/>
      <c r="M114" s="471"/>
      <c r="N114" s="471"/>
      <c r="O114" s="471"/>
      <c r="P114" s="471"/>
      <c r="Q114" s="471"/>
      <c r="R114" s="471"/>
      <c r="S114" s="471"/>
      <c r="T114" s="920"/>
      <c r="U114" s="290"/>
      <c r="V114" s="290"/>
      <c r="W114" s="290"/>
      <c r="X114" s="920"/>
      <c r="Y114" s="289"/>
      <c r="Z114" s="289"/>
      <c r="AA114" s="289"/>
      <c r="AB114" s="920"/>
    </row>
    <row r="115" spans="1:28">
      <c r="A115" s="288" t="s">
        <v>61</v>
      </c>
      <c r="B115" s="289">
        <v>4000</v>
      </c>
      <c r="C115" s="289" t="s">
        <v>18</v>
      </c>
      <c r="D115" s="290" t="s">
        <v>18</v>
      </c>
      <c r="E115" s="290" t="s">
        <v>43</v>
      </c>
      <c r="F115" s="471"/>
      <c r="G115" s="471"/>
      <c r="H115" s="471"/>
      <c r="I115" s="471"/>
      <c r="J115" s="471"/>
      <c r="K115" s="471"/>
      <c r="L115" s="471"/>
      <c r="M115" s="471"/>
      <c r="N115" s="471"/>
      <c r="O115" s="471"/>
      <c r="P115" s="471"/>
      <c r="Q115" s="471"/>
      <c r="R115" s="471"/>
      <c r="S115" s="471"/>
      <c r="T115" s="290" t="s">
        <v>43</v>
      </c>
      <c r="U115" s="290"/>
      <c r="V115" s="290"/>
      <c r="W115" s="290"/>
      <c r="X115" s="290" t="s">
        <v>43</v>
      </c>
      <c r="Y115" s="289"/>
      <c r="Z115" s="289"/>
      <c r="AA115" s="289"/>
      <c r="AB115" s="290" t="s">
        <v>18</v>
      </c>
    </row>
    <row r="116" spans="1:28" s="160" customFormat="1" hidden="1">
      <c r="A116" s="157" t="s">
        <v>45</v>
      </c>
      <c r="B116" s="167" t="s">
        <v>18</v>
      </c>
      <c r="C116" s="167" t="s">
        <v>18</v>
      </c>
      <c r="D116" s="159" t="s">
        <v>18</v>
      </c>
      <c r="E116" s="159" t="s">
        <v>18</v>
      </c>
      <c r="F116" s="471"/>
      <c r="G116" s="471"/>
      <c r="H116" s="471"/>
      <c r="I116" s="471"/>
      <c r="J116" s="471"/>
      <c r="K116" s="471"/>
      <c r="L116" s="471"/>
      <c r="M116" s="471"/>
      <c r="N116" s="471"/>
      <c r="O116" s="471"/>
      <c r="P116" s="471"/>
      <c r="Q116" s="471"/>
      <c r="R116" s="471"/>
      <c r="S116" s="471"/>
      <c r="T116" s="159" t="s">
        <v>18</v>
      </c>
      <c r="U116" s="159"/>
      <c r="V116" s="159"/>
      <c r="W116" s="159"/>
      <c r="X116" s="159" t="s">
        <v>18</v>
      </c>
      <c r="Y116" s="158"/>
      <c r="Z116" s="158"/>
      <c r="AA116" s="158"/>
      <c r="AB116" s="159" t="s">
        <v>18</v>
      </c>
    </row>
    <row r="117" spans="1:28" ht="30">
      <c r="A117" s="291" t="s">
        <v>945</v>
      </c>
      <c r="B117" s="289">
        <v>4010</v>
      </c>
      <c r="C117" s="289">
        <v>610</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ht="60">
      <c r="A118" s="291" t="s">
        <v>946</v>
      </c>
      <c r="B118" s="289">
        <v>4020</v>
      </c>
      <c r="C118" s="289">
        <v>610</v>
      </c>
      <c r="D118" s="290" t="s">
        <v>18</v>
      </c>
      <c r="E118" s="290" t="s">
        <v>43</v>
      </c>
      <c r="F118" s="471"/>
      <c r="G118" s="471"/>
      <c r="H118" s="471"/>
      <c r="I118" s="471"/>
      <c r="J118" s="471"/>
      <c r="K118" s="471"/>
      <c r="L118" s="471"/>
      <c r="M118" s="471"/>
      <c r="N118" s="471"/>
      <c r="O118" s="471"/>
      <c r="P118" s="471"/>
      <c r="Q118" s="471"/>
      <c r="R118" s="471"/>
      <c r="S118" s="471"/>
      <c r="T118" s="290" t="s">
        <v>43</v>
      </c>
      <c r="U118" s="290"/>
      <c r="V118" s="290"/>
      <c r="W118" s="290"/>
      <c r="X118" s="290" t="s">
        <v>43</v>
      </c>
      <c r="Y118" s="289"/>
      <c r="Z118" s="289"/>
      <c r="AA118" s="289"/>
      <c r="AB118" s="290" t="s">
        <v>18</v>
      </c>
    </row>
    <row r="119" spans="1:28">
      <c r="A119" s="19" t="s">
        <v>64</v>
      </c>
      <c r="E119" s="17"/>
      <c r="F119" s="444"/>
      <c r="G119" s="444"/>
      <c r="H119" s="444"/>
      <c r="I119" s="444"/>
      <c r="J119" s="444"/>
      <c r="K119" s="444"/>
      <c r="L119" s="444"/>
      <c r="M119" s="444"/>
      <c r="N119" s="444"/>
      <c r="O119" s="444"/>
      <c r="P119" s="444"/>
      <c r="Q119" s="444"/>
      <c r="R119" s="444"/>
      <c r="S119" s="444"/>
      <c r="T119" s="17"/>
      <c r="U119" s="17"/>
      <c r="V119" s="17"/>
      <c r="W119" s="17"/>
      <c r="X119" s="17"/>
      <c r="Y119" s="17"/>
      <c r="Z119" s="17"/>
      <c r="AA119" s="17"/>
      <c r="AB119" s="18"/>
    </row>
    <row r="120" spans="1:28">
      <c r="A120" s="19" t="s">
        <v>65</v>
      </c>
      <c r="E120" s="17"/>
      <c r="F120" s="444"/>
      <c r="G120" s="444"/>
      <c r="H120" s="444"/>
      <c r="I120" s="444"/>
      <c r="J120" s="444"/>
      <c r="K120" s="444"/>
      <c r="L120" s="444"/>
      <c r="M120" s="444"/>
      <c r="N120" s="444"/>
      <c r="O120" s="444"/>
      <c r="P120" s="444"/>
      <c r="Q120" s="444"/>
      <c r="R120" s="444"/>
      <c r="S120" s="444"/>
      <c r="T120" s="17"/>
      <c r="U120" s="17"/>
      <c r="V120" s="17"/>
      <c r="W120" s="17"/>
      <c r="X120" s="17"/>
      <c r="Y120" s="17"/>
      <c r="Z120" s="17"/>
      <c r="AA120" s="17"/>
      <c r="AB120" s="18"/>
    </row>
    <row r="121" spans="1:28">
      <c r="A121" s="19"/>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20" t="s">
        <v>66</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20" t="s">
        <v>67</v>
      </c>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68</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69</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70</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19" t="s">
        <v>71</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19" t="s">
        <v>72</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sheetData>
  <mergeCells count="30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B76:B77"/>
    <mergeCell ref="C76:C77"/>
    <mergeCell ref="D76:D77"/>
    <mergeCell ref="E76:E77"/>
    <mergeCell ref="T76:T77"/>
    <mergeCell ref="U76:U77"/>
    <mergeCell ref="V76:V77"/>
    <mergeCell ref="W76:W77"/>
    <mergeCell ref="X76:X77"/>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57:A58"/>
    <mergeCell ref="B57:B58"/>
    <mergeCell ref="C57:C58"/>
    <mergeCell ref="D57:D58"/>
    <mergeCell ref="E57:E58"/>
    <mergeCell ref="T57:T58"/>
    <mergeCell ref="U57:U58"/>
    <mergeCell ref="V57:V58"/>
    <mergeCell ref="W57:W58"/>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34" zoomScale="70" zoomScaleNormal="85" zoomScaleSheetLayoutView="70" workbookViewId="0">
      <selection activeCell="DF35" sqref="DF35"/>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90" t="s">
        <v>870</v>
      </c>
      <c r="B1" s="990"/>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c r="BD1" s="990"/>
      <c r="BE1" s="990"/>
      <c r="BF1" s="990"/>
      <c r="BG1" s="990"/>
      <c r="BH1" s="990"/>
      <c r="BI1" s="990"/>
      <c r="BJ1" s="990"/>
      <c r="BK1" s="990"/>
      <c r="BL1" s="990"/>
      <c r="BM1" s="990"/>
      <c r="BN1" s="990"/>
      <c r="BO1" s="990"/>
      <c r="BP1" s="990"/>
      <c r="BQ1" s="990"/>
      <c r="BR1" s="990"/>
      <c r="BS1" s="990"/>
      <c r="BT1" s="990"/>
      <c r="BU1" s="990"/>
      <c r="BV1" s="990"/>
      <c r="BW1" s="990"/>
      <c r="BX1" s="990"/>
      <c r="BY1" s="990"/>
      <c r="BZ1" s="990"/>
      <c r="CA1" s="990"/>
      <c r="CB1" s="990"/>
      <c r="CC1" s="990"/>
      <c r="CD1" s="990"/>
      <c r="CE1" s="990"/>
      <c r="CF1" s="990"/>
      <c r="CG1" s="990"/>
      <c r="CH1" s="990"/>
      <c r="CI1" s="990"/>
      <c r="CJ1" s="990"/>
      <c r="CK1" s="990"/>
      <c r="CL1" s="990"/>
      <c r="CM1" s="990"/>
      <c r="CN1" s="990"/>
      <c r="CO1" s="990"/>
      <c r="CP1" s="990"/>
      <c r="CQ1" s="990"/>
      <c r="CR1" s="990"/>
      <c r="CS1" s="990"/>
      <c r="CT1" s="990"/>
    </row>
    <row r="2" spans="1:98" ht="15"/>
    <row r="3" spans="1:98" ht="18.75" customHeight="1">
      <c r="A3" s="991" t="s">
        <v>2</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2"/>
      <c r="CF3" s="998" t="s">
        <v>77</v>
      </c>
      <c r="CG3" s="991"/>
      <c r="CH3" s="991"/>
      <c r="CI3" s="991"/>
      <c r="CJ3" s="991"/>
      <c r="CK3" s="991"/>
      <c r="CL3" s="991"/>
      <c r="CM3" s="992"/>
      <c r="CN3" s="998" t="s">
        <v>78</v>
      </c>
      <c r="CO3" s="998" t="s">
        <v>116</v>
      </c>
      <c r="CP3" s="998" t="s">
        <v>947</v>
      </c>
      <c r="CQ3" s="1001" t="s">
        <v>6</v>
      </c>
      <c r="CR3" s="1002"/>
      <c r="CS3" s="1002"/>
      <c r="CT3" s="1003"/>
    </row>
    <row r="4" spans="1:98" ht="18" customHeight="1">
      <c r="A4" s="993"/>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4"/>
      <c r="CF4" s="999"/>
      <c r="CG4" s="993"/>
      <c r="CH4" s="993"/>
      <c r="CI4" s="993"/>
      <c r="CJ4" s="993"/>
      <c r="CK4" s="993"/>
      <c r="CL4" s="993"/>
      <c r="CM4" s="994"/>
      <c r="CN4" s="999"/>
      <c r="CO4" s="999"/>
      <c r="CP4" s="999"/>
      <c r="CQ4" s="480" t="s">
        <v>982</v>
      </c>
      <c r="CR4" s="347" t="s">
        <v>868</v>
      </c>
      <c r="CS4" s="347" t="s">
        <v>983</v>
      </c>
      <c r="CT4" s="1004" t="s">
        <v>7</v>
      </c>
    </row>
    <row r="5" spans="1:98" ht="54.75" customHeight="1">
      <c r="A5" s="995"/>
      <c r="B5" s="995"/>
      <c r="C5" s="995"/>
      <c r="D5" s="995"/>
      <c r="E5" s="995"/>
      <c r="F5" s="996"/>
      <c r="G5" s="996"/>
      <c r="H5" s="996"/>
      <c r="I5" s="996"/>
      <c r="J5" s="996"/>
      <c r="K5" s="996"/>
      <c r="L5" s="996"/>
      <c r="M5" s="996"/>
      <c r="N5" s="996"/>
      <c r="O5" s="996"/>
      <c r="P5" s="996"/>
      <c r="Q5" s="996"/>
      <c r="R5" s="996"/>
      <c r="S5" s="996"/>
      <c r="T5" s="996"/>
      <c r="U5" s="996"/>
      <c r="V5" s="996"/>
      <c r="W5" s="996"/>
      <c r="X5" s="996"/>
      <c r="Y5" s="996"/>
      <c r="Z5" s="996"/>
      <c r="AA5" s="996"/>
      <c r="AB5" s="996"/>
      <c r="AC5" s="996"/>
      <c r="AD5" s="996"/>
      <c r="AE5" s="996"/>
      <c r="AF5" s="996"/>
      <c r="AG5" s="996"/>
      <c r="AH5" s="996"/>
      <c r="AI5" s="996"/>
      <c r="AJ5" s="996"/>
      <c r="AK5" s="996"/>
      <c r="AL5" s="996"/>
      <c r="AM5" s="996"/>
      <c r="AN5" s="996"/>
      <c r="AO5" s="996"/>
      <c r="AP5" s="996"/>
      <c r="AQ5" s="996"/>
      <c r="AR5" s="996"/>
      <c r="AS5" s="996"/>
      <c r="AT5" s="996"/>
      <c r="AU5" s="996"/>
      <c r="AV5" s="996"/>
      <c r="AW5" s="996"/>
      <c r="AX5" s="996"/>
      <c r="AY5" s="996"/>
      <c r="AZ5" s="996"/>
      <c r="BA5" s="996"/>
      <c r="BB5" s="996"/>
      <c r="BC5" s="996"/>
      <c r="BD5" s="996"/>
      <c r="BE5" s="996"/>
      <c r="BF5" s="996"/>
      <c r="BG5" s="996"/>
      <c r="BH5" s="996"/>
      <c r="BI5" s="996"/>
      <c r="BJ5" s="996"/>
      <c r="BK5" s="996"/>
      <c r="BL5" s="996"/>
      <c r="BM5" s="996"/>
      <c r="BN5" s="996"/>
      <c r="BO5" s="996"/>
      <c r="BP5" s="996"/>
      <c r="BQ5" s="996"/>
      <c r="BR5" s="996"/>
      <c r="BS5" s="996"/>
      <c r="BT5" s="996"/>
      <c r="BU5" s="996"/>
      <c r="BV5" s="996"/>
      <c r="BW5" s="996"/>
      <c r="BX5" s="996"/>
      <c r="BY5" s="996"/>
      <c r="BZ5" s="996"/>
      <c r="CA5" s="996"/>
      <c r="CB5" s="996"/>
      <c r="CC5" s="996"/>
      <c r="CD5" s="996"/>
      <c r="CE5" s="997"/>
      <c r="CF5" s="1000"/>
      <c r="CG5" s="996"/>
      <c r="CH5" s="996"/>
      <c r="CI5" s="996"/>
      <c r="CJ5" s="996"/>
      <c r="CK5" s="996"/>
      <c r="CL5" s="996"/>
      <c r="CM5" s="997"/>
      <c r="CN5" s="1000"/>
      <c r="CO5" s="1000"/>
      <c r="CP5" s="1000"/>
      <c r="CQ5" s="481" t="s">
        <v>79</v>
      </c>
      <c r="CR5" s="348" t="s">
        <v>80</v>
      </c>
      <c r="CS5" s="348" t="s">
        <v>81</v>
      </c>
      <c r="CT5" s="1005"/>
    </row>
    <row r="6" spans="1:98" ht="22.5" customHeight="1" thickBot="1">
      <c r="A6" s="1006" t="s">
        <v>8</v>
      </c>
      <c r="B6" s="1006"/>
      <c r="C6" s="1006"/>
      <c r="D6" s="1006"/>
      <c r="E6" s="1006"/>
      <c r="F6" s="1006"/>
      <c r="G6" s="1006"/>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c r="AH6" s="1006"/>
      <c r="AI6" s="1006"/>
      <c r="AJ6" s="1006"/>
      <c r="AK6" s="1006"/>
      <c r="AL6" s="1006"/>
      <c r="AM6" s="1006"/>
      <c r="AN6" s="1006"/>
      <c r="AO6" s="1006"/>
      <c r="AP6" s="1006"/>
      <c r="AQ6" s="1006"/>
      <c r="AR6" s="1006"/>
      <c r="AS6" s="1006"/>
      <c r="AT6" s="1006"/>
      <c r="AU6" s="1006"/>
      <c r="AV6" s="1006"/>
      <c r="AW6" s="1006"/>
      <c r="AX6" s="1006"/>
      <c r="AY6" s="1006"/>
      <c r="AZ6" s="1006"/>
      <c r="BA6" s="1006"/>
      <c r="BB6" s="1006"/>
      <c r="BC6" s="1006"/>
      <c r="BD6" s="1006"/>
      <c r="BE6" s="1006"/>
      <c r="BF6" s="1006"/>
      <c r="BG6" s="1006"/>
      <c r="BH6" s="1006"/>
      <c r="BI6" s="1006"/>
      <c r="BJ6" s="1006"/>
      <c r="BK6" s="1006"/>
      <c r="BL6" s="1006"/>
      <c r="BM6" s="1006"/>
      <c r="BN6" s="1006"/>
      <c r="BO6" s="1006"/>
      <c r="BP6" s="1006"/>
      <c r="BQ6" s="1006"/>
      <c r="BR6" s="1006"/>
      <c r="BS6" s="1006"/>
      <c r="BT6" s="1006"/>
      <c r="BU6" s="1006"/>
      <c r="BV6" s="1006"/>
      <c r="BW6" s="1006"/>
      <c r="BX6" s="1006"/>
      <c r="BY6" s="1006"/>
      <c r="BZ6" s="1006"/>
      <c r="CA6" s="1006"/>
      <c r="CB6" s="1006"/>
      <c r="CC6" s="1006"/>
      <c r="CD6" s="1006"/>
      <c r="CE6" s="1007"/>
      <c r="CF6" s="1008" t="s">
        <v>9</v>
      </c>
      <c r="CG6" s="1009"/>
      <c r="CH6" s="1009"/>
      <c r="CI6" s="1009"/>
      <c r="CJ6" s="1009"/>
      <c r="CK6" s="1009"/>
      <c r="CL6" s="1009"/>
      <c r="CM6" s="1010"/>
      <c r="CN6" s="793" t="s">
        <v>10</v>
      </c>
      <c r="CO6" s="793" t="s">
        <v>11</v>
      </c>
      <c r="CP6" s="842" t="s">
        <v>12</v>
      </c>
      <c r="CQ6" s="794" t="s">
        <v>13</v>
      </c>
      <c r="CR6" s="793" t="s">
        <v>14</v>
      </c>
      <c r="CS6" s="793" t="s">
        <v>15</v>
      </c>
      <c r="CT6" s="795" t="s">
        <v>75</v>
      </c>
    </row>
    <row r="7" spans="1:98" customFormat="1" ht="33" customHeight="1">
      <c r="A7" s="1011" t="s">
        <v>948</v>
      </c>
      <c r="B7" s="1012"/>
      <c r="C7" s="1012"/>
      <c r="D7" s="1012"/>
      <c r="E7" s="1012"/>
      <c r="F7" s="1012"/>
      <c r="G7" s="1012"/>
      <c r="H7" s="1012"/>
      <c r="I7" s="1012"/>
      <c r="J7" s="1012"/>
      <c r="K7" s="1012"/>
      <c r="L7" s="1012"/>
      <c r="M7" s="1012"/>
      <c r="N7" s="1012"/>
      <c r="O7" s="1012"/>
      <c r="P7" s="1012"/>
      <c r="Q7" s="1012"/>
      <c r="R7" s="1012"/>
      <c r="S7" s="1012"/>
      <c r="T7" s="1012"/>
      <c r="U7" s="1012"/>
      <c r="V7" s="1012"/>
      <c r="W7" s="1012"/>
      <c r="X7" s="1012"/>
      <c r="Y7" s="1012"/>
      <c r="Z7" s="1012"/>
      <c r="AA7" s="1012"/>
      <c r="AB7" s="1012"/>
      <c r="AC7" s="1012"/>
      <c r="AD7" s="1012"/>
      <c r="AE7" s="1012"/>
      <c r="AF7" s="1012"/>
      <c r="AG7" s="1012"/>
      <c r="AH7" s="1012"/>
      <c r="AI7" s="1012"/>
      <c r="AJ7" s="1012"/>
      <c r="AK7" s="1012"/>
      <c r="AL7" s="1012"/>
      <c r="AM7" s="1012"/>
      <c r="AN7" s="1012"/>
      <c r="AO7" s="1012"/>
      <c r="AP7" s="1012"/>
      <c r="AQ7" s="1012"/>
      <c r="AR7" s="1012"/>
      <c r="AS7" s="1012"/>
      <c r="AT7" s="1012"/>
      <c r="AU7" s="1012"/>
      <c r="AV7" s="1012"/>
      <c r="AW7" s="1012"/>
      <c r="AX7" s="1012"/>
      <c r="AY7" s="1012"/>
      <c r="AZ7" s="1012"/>
      <c r="BA7" s="1012"/>
      <c r="BB7" s="1012"/>
      <c r="BC7" s="1012"/>
      <c r="BD7" s="1012"/>
      <c r="BE7" s="1012"/>
      <c r="BF7" s="1012"/>
      <c r="BG7" s="1012"/>
      <c r="BH7" s="1012"/>
      <c r="BI7" s="1012"/>
      <c r="BJ7" s="1012"/>
      <c r="BK7" s="1012"/>
      <c r="BL7" s="1012"/>
      <c r="BM7" s="1012"/>
      <c r="BN7" s="1012"/>
      <c r="BO7" s="1012"/>
      <c r="BP7" s="1012"/>
      <c r="BQ7" s="1012"/>
      <c r="BR7" s="1012"/>
      <c r="BS7" s="1012"/>
      <c r="BT7" s="1012"/>
      <c r="BU7" s="1012"/>
      <c r="BV7" s="1012"/>
      <c r="BW7" s="1012"/>
      <c r="BX7" s="1012"/>
      <c r="BY7" s="1012"/>
      <c r="BZ7" s="1012"/>
      <c r="CA7" s="1012"/>
      <c r="CB7" s="1012"/>
      <c r="CC7" s="1012"/>
      <c r="CD7" s="1012"/>
      <c r="CE7" s="1012"/>
      <c r="CF7" s="1013" t="s">
        <v>82</v>
      </c>
      <c r="CG7" s="1014"/>
      <c r="CH7" s="1014"/>
      <c r="CI7" s="1014"/>
      <c r="CJ7" s="1014"/>
      <c r="CK7" s="1014"/>
      <c r="CL7" s="1014"/>
      <c r="CM7" s="1015"/>
      <c r="CN7" s="349" t="s">
        <v>18</v>
      </c>
      <c r="CO7" s="349" t="s">
        <v>18</v>
      </c>
      <c r="CP7" s="349"/>
      <c r="CQ7" s="482">
        <f>SUM(CQ8:CQ10,CQ15)</f>
        <v>29901922.539999999</v>
      </c>
      <c r="CR7" s="350">
        <f>SUM(CR8:CR10,CR15)</f>
        <v>27151751.009999998</v>
      </c>
      <c r="CS7" s="350">
        <f>SUM(CS8:CS10,CS15)</f>
        <v>25851783.710000001</v>
      </c>
      <c r="CT7" s="372">
        <f>SUM(CT8:CT10,CT15)</f>
        <v>0</v>
      </c>
    </row>
    <row r="8" spans="1:98" customFormat="1" ht="165.75" customHeight="1">
      <c r="A8" s="1016" t="s">
        <v>949</v>
      </c>
      <c r="B8" s="1017"/>
      <c r="C8" s="1017"/>
      <c r="D8" s="1017"/>
      <c r="E8" s="1017"/>
      <c r="F8" s="1017"/>
      <c r="G8" s="1017"/>
      <c r="H8" s="1017"/>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8" t="s">
        <v>84</v>
      </c>
      <c r="CG8" s="1019"/>
      <c r="CH8" s="1019"/>
      <c r="CI8" s="1019"/>
      <c r="CJ8" s="1019"/>
      <c r="CK8" s="1019"/>
      <c r="CL8" s="1019"/>
      <c r="CM8" s="1020"/>
      <c r="CN8" s="351" t="s">
        <v>18</v>
      </c>
      <c r="CO8" s="351" t="s">
        <v>18</v>
      </c>
      <c r="CP8" s="351"/>
      <c r="CQ8" s="483">
        <v>0</v>
      </c>
      <c r="CR8" s="352">
        <v>0</v>
      </c>
      <c r="CS8" s="352">
        <v>0</v>
      </c>
      <c r="CT8" s="373">
        <v>0</v>
      </c>
    </row>
    <row r="9" spans="1:98" customFormat="1" ht="63.75" customHeight="1">
      <c r="A9" s="1021" t="s">
        <v>950</v>
      </c>
      <c r="B9" s="1017"/>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J9" s="1017"/>
      <c r="AK9" s="1017"/>
      <c r="AL9" s="1017"/>
      <c r="AM9" s="1017"/>
      <c r="AN9" s="1017"/>
      <c r="AO9" s="1017"/>
      <c r="AP9" s="1017"/>
      <c r="AQ9" s="1017"/>
      <c r="AR9" s="1017"/>
      <c r="AS9" s="1017"/>
      <c r="AT9" s="1017"/>
      <c r="AU9" s="1017"/>
      <c r="AV9" s="1017"/>
      <c r="AW9" s="1017"/>
      <c r="AX9" s="1017"/>
      <c r="AY9" s="1017"/>
      <c r="AZ9" s="1017"/>
      <c r="BA9" s="1017"/>
      <c r="BB9" s="1017"/>
      <c r="BC9" s="1017"/>
      <c r="BD9" s="1017"/>
      <c r="BE9" s="1017"/>
      <c r="BF9" s="1017"/>
      <c r="BG9" s="1017"/>
      <c r="BH9" s="1017"/>
      <c r="BI9" s="1017"/>
      <c r="BJ9" s="1017"/>
      <c r="BK9" s="1017"/>
      <c r="BL9" s="1017"/>
      <c r="BM9" s="1017"/>
      <c r="BN9" s="1017"/>
      <c r="BO9" s="1017"/>
      <c r="BP9" s="1017"/>
      <c r="BQ9" s="1017"/>
      <c r="BR9" s="1017"/>
      <c r="BS9" s="1017"/>
      <c r="BT9" s="1017"/>
      <c r="BU9" s="1017"/>
      <c r="BV9" s="1017"/>
      <c r="BW9" s="1017"/>
      <c r="BX9" s="1017"/>
      <c r="BY9" s="1017"/>
      <c r="BZ9" s="1017"/>
      <c r="CA9" s="1017"/>
      <c r="CB9" s="1017"/>
      <c r="CC9" s="1017"/>
      <c r="CD9" s="1017"/>
      <c r="CE9" s="1017"/>
      <c r="CF9" s="1018" t="s">
        <v>85</v>
      </c>
      <c r="CG9" s="1019"/>
      <c r="CH9" s="1019"/>
      <c r="CI9" s="1019"/>
      <c r="CJ9" s="1019"/>
      <c r="CK9" s="1019"/>
      <c r="CL9" s="1019"/>
      <c r="CM9" s="1020"/>
      <c r="CN9" s="351" t="s">
        <v>18</v>
      </c>
      <c r="CO9" s="351" t="s">
        <v>18</v>
      </c>
      <c r="CP9" s="351"/>
      <c r="CQ9" s="483">
        <v>0</v>
      </c>
      <c r="CR9" s="352">
        <v>0</v>
      </c>
      <c r="CS9" s="352">
        <v>0</v>
      </c>
      <c r="CT9" s="373">
        <v>0</v>
      </c>
    </row>
    <row r="10" spans="1:98" customFormat="1" ht="48" customHeight="1">
      <c r="A10" s="1021" t="s">
        <v>951</v>
      </c>
      <c r="B10" s="1017"/>
      <c r="C10" s="1017"/>
      <c r="D10" s="1017"/>
      <c r="E10" s="1017"/>
      <c r="F10" s="1017"/>
      <c r="G10" s="1017"/>
      <c r="H10" s="1017"/>
      <c r="I10" s="1017"/>
      <c r="J10" s="1017"/>
      <c r="K10" s="1017"/>
      <c r="L10" s="1017"/>
      <c r="M10" s="1017"/>
      <c r="N10" s="1017"/>
      <c r="O10" s="1017"/>
      <c r="P10" s="1017"/>
      <c r="Q10" s="1017"/>
      <c r="R10" s="1017"/>
      <c r="S10" s="1017"/>
      <c r="T10" s="1017"/>
      <c r="U10" s="1017"/>
      <c r="V10" s="1017"/>
      <c r="W10" s="1017"/>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7"/>
      <c r="AY10" s="1017"/>
      <c r="AZ10" s="1017"/>
      <c r="BA10" s="1017"/>
      <c r="BB10" s="1017"/>
      <c r="BC10" s="1017"/>
      <c r="BD10" s="1017"/>
      <c r="BE10" s="1017"/>
      <c r="BF10" s="1017"/>
      <c r="BG10" s="1017"/>
      <c r="BH10" s="1017"/>
      <c r="BI10" s="1017"/>
      <c r="BJ10" s="1017"/>
      <c r="BK10" s="1017"/>
      <c r="BL10" s="1017"/>
      <c r="BM10" s="1017"/>
      <c r="BN10" s="1017"/>
      <c r="BO10" s="1017"/>
      <c r="BP10" s="1017"/>
      <c r="BQ10" s="1017"/>
      <c r="BR10" s="1017"/>
      <c r="BS10" s="1017"/>
      <c r="BT10" s="1017"/>
      <c r="BU10" s="1017"/>
      <c r="BV10" s="1017"/>
      <c r="BW10" s="1017"/>
      <c r="BX10" s="1017"/>
      <c r="BY10" s="1017"/>
      <c r="BZ10" s="1017"/>
      <c r="CA10" s="1017"/>
      <c r="CB10" s="1017"/>
      <c r="CC10" s="1017"/>
      <c r="CD10" s="1017"/>
      <c r="CE10" s="1017"/>
      <c r="CF10" s="1018" t="s">
        <v>86</v>
      </c>
      <c r="CG10" s="1019"/>
      <c r="CH10" s="1019"/>
      <c r="CI10" s="1019"/>
      <c r="CJ10" s="1019"/>
      <c r="CK10" s="1019"/>
      <c r="CL10" s="1019"/>
      <c r="CM10" s="1020"/>
      <c r="CN10" s="351" t="s">
        <v>18</v>
      </c>
      <c r="CO10" s="351" t="s">
        <v>18</v>
      </c>
      <c r="CP10" s="351"/>
      <c r="CQ10" s="483">
        <f>SUM(CQ11:CQ14)</f>
        <v>0</v>
      </c>
      <c r="CR10" s="352">
        <f>SUM(CR11:CR14)</f>
        <v>0</v>
      </c>
      <c r="CS10" s="352">
        <f>SUM(CS11:CS14)</f>
        <v>0</v>
      </c>
      <c r="CT10" s="373">
        <f>SUM(CT11:CT14)</f>
        <v>0</v>
      </c>
    </row>
    <row r="11" spans="1:98" s="94" customFormat="1" ht="44.25" customHeight="1">
      <c r="A11" s="967" t="s">
        <v>952</v>
      </c>
      <c r="B11" s="968"/>
      <c r="C11" s="968"/>
      <c r="D11" s="968"/>
      <c r="E11" s="968"/>
      <c r="F11" s="968"/>
      <c r="G11" s="968"/>
      <c r="H11" s="968"/>
      <c r="I11" s="968"/>
      <c r="J11" s="968"/>
      <c r="K11" s="968"/>
      <c r="L11" s="968"/>
      <c r="M11" s="968"/>
      <c r="N11" s="968"/>
      <c r="O11" s="968"/>
      <c r="P11" s="968"/>
      <c r="Q11" s="968"/>
      <c r="R11" s="968"/>
      <c r="S11" s="968"/>
      <c r="T11" s="968"/>
      <c r="U11" s="968"/>
      <c r="V11" s="968"/>
      <c r="W11" s="968"/>
      <c r="X11" s="968"/>
      <c r="Y11" s="968"/>
      <c r="Z11" s="968"/>
      <c r="AA11" s="968"/>
      <c r="AB11" s="968"/>
      <c r="AC11" s="968"/>
      <c r="AD11" s="968"/>
      <c r="AE11" s="968"/>
      <c r="AF11" s="968"/>
      <c r="AG11" s="968"/>
      <c r="AH11" s="968"/>
      <c r="AI11" s="968"/>
      <c r="AJ11" s="968"/>
      <c r="AK11" s="968"/>
      <c r="AL11" s="968"/>
      <c r="AM11" s="968"/>
      <c r="AN11" s="968"/>
      <c r="AO11" s="968"/>
      <c r="AP11" s="968"/>
      <c r="AQ11" s="968"/>
      <c r="AR11" s="968"/>
      <c r="AS11" s="968"/>
      <c r="AT11" s="968"/>
      <c r="AU11" s="968"/>
      <c r="AV11" s="968"/>
      <c r="AW11" s="968"/>
      <c r="AX11" s="968"/>
      <c r="AY11" s="968"/>
      <c r="AZ11" s="968"/>
      <c r="BA11" s="968"/>
      <c r="BB11" s="968"/>
      <c r="BC11" s="968"/>
      <c r="BD11" s="968"/>
      <c r="BE11" s="968"/>
      <c r="BF11" s="968"/>
      <c r="BG11" s="968"/>
      <c r="BH11" s="968"/>
      <c r="BI11" s="968"/>
      <c r="BJ11" s="968"/>
      <c r="BK11" s="968"/>
      <c r="BL11" s="968"/>
      <c r="BM11" s="968"/>
      <c r="BN11" s="968"/>
      <c r="BO11" s="968"/>
      <c r="BP11" s="968"/>
      <c r="BQ11" s="968"/>
      <c r="BR11" s="968"/>
      <c r="BS11" s="968"/>
      <c r="BT11" s="968"/>
      <c r="BU11" s="968"/>
      <c r="BV11" s="968"/>
      <c r="BW11" s="968"/>
      <c r="BX11" s="968"/>
      <c r="BY11" s="968"/>
      <c r="BZ11" s="968"/>
      <c r="CA11" s="968"/>
      <c r="CB11" s="968"/>
      <c r="CC11" s="968"/>
      <c r="CD11" s="968"/>
      <c r="CE11" s="968"/>
      <c r="CF11" s="972" t="s">
        <v>117</v>
      </c>
      <c r="CG11" s="973"/>
      <c r="CH11" s="973"/>
      <c r="CI11" s="973"/>
      <c r="CJ11" s="973"/>
      <c r="CK11" s="973"/>
      <c r="CL11" s="973"/>
      <c r="CM11" s="974"/>
      <c r="CN11" s="353" t="s">
        <v>18</v>
      </c>
      <c r="CO11" s="353" t="s">
        <v>18</v>
      </c>
      <c r="CP11" s="353"/>
      <c r="CQ11" s="484">
        <v>0</v>
      </c>
      <c r="CR11" s="354">
        <v>0</v>
      </c>
      <c r="CS11" s="354">
        <v>0</v>
      </c>
      <c r="CT11" s="374">
        <v>0</v>
      </c>
    </row>
    <row r="12" spans="1:98" s="94" customFormat="1" ht="26.25" customHeight="1">
      <c r="A12" s="967" t="s">
        <v>45</v>
      </c>
      <c r="B12" s="968"/>
      <c r="C12" s="968"/>
      <c r="D12" s="968"/>
      <c r="E12" s="968"/>
      <c r="F12" s="968"/>
      <c r="G12" s="968"/>
      <c r="H12" s="968"/>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8"/>
      <c r="AL12" s="968"/>
      <c r="AM12" s="968"/>
      <c r="AN12" s="968"/>
      <c r="AO12" s="968"/>
      <c r="AP12" s="968"/>
      <c r="AQ12" s="968"/>
      <c r="AR12" s="968"/>
      <c r="AS12" s="968"/>
      <c r="AT12" s="968"/>
      <c r="AU12" s="968"/>
      <c r="AV12" s="968"/>
      <c r="AW12" s="968"/>
      <c r="AX12" s="968"/>
      <c r="AY12" s="968"/>
      <c r="AZ12" s="968"/>
      <c r="BA12" s="968"/>
      <c r="BB12" s="968"/>
      <c r="BC12" s="968"/>
      <c r="BD12" s="968"/>
      <c r="BE12" s="968"/>
      <c r="BF12" s="968"/>
      <c r="BG12" s="968"/>
      <c r="BH12" s="968"/>
      <c r="BI12" s="968"/>
      <c r="BJ12" s="968"/>
      <c r="BK12" s="968"/>
      <c r="BL12" s="968"/>
      <c r="BM12" s="968"/>
      <c r="BN12" s="968"/>
      <c r="BO12" s="968"/>
      <c r="BP12" s="968"/>
      <c r="BQ12" s="968"/>
      <c r="BR12" s="968"/>
      <c r="BS12" s="968"/>
      <c r="BT12" s="968"/>
      <c r="BU12" s="968"/>
      <c r="BV12" s="968"/>
      <c r="BW12" s="968"/>
      <c r="BX12" s="968"/>
      <c r="BY12" s="968"/>
      <c r="BZ12" s="968"/>
      <c r="CA12" s="968"/>
      <c r="CB12" s="968"/>
      <c r="CC12" s="968"/>
      <c r="CD12" s="968"/>
      <c r="CE12" s="968"/>
      <c r="CF12" s="972" t="s">
        <v>118</v>
      </c>
      <c r="CG12" s="973"/>
      <c r="CH12" s="973"/>
      <c r="CI12" s="973"/>
      <c r="CJ12" s="973"/>
      <c r="CK12" s="973"/>
      <c r="CL12" s="973"/>
      <c r="CM12" s="974"/>
      <c r="CN12" s="353" t="s">
        <v>18</v>
      </c>
      <c r="CO12" s="353" t="s">
        <v>18</v>
      </c>
      <c r="CP12" s="353"/>
      <c r="CQ12" s="484">
        <v>0</v>
      </c>
      <c r="CR12" s="354">
        <v>0</v>
      </c>
      <c r="CS12" s="354">
        <v>0</v>
      </c>
      <c r="CT12" s="374">
        <v>0</v>
      </c>
    </row>
    <row r="13" spans="1:98" s="94" customFormat="1" ht="27.75" customHeight="1">
      <c r="A13" s="967" t="s">
        <v>45</v>
      </c>
      <c r="B13" s="968"/>
      <c r="C13" s="968"/>
      <c r="D13" s="968"/>
      <c r="E13" s="968"/>
      <c r="F13" s="968"/>
      <c r="G13" s="968"/>
      <c r="H13" s="968"/>
      <c r="I13" s="968"/>
      <c r="J13" s="968"/>
      <c r="K13" s="968"/>
      <c r="L13" s="968"/>
      <c r="M13" s="968"/>
      <c r="N13" s="968"/>
      <c r="O13" s="968"/>
      <c r="P13" s="968"/>
      <c r="Q13" s="968"/>
      <c r="R13" s="968"/>
      <c r="S13" s="968"/>
      <c r="T13" s="968"/>
      <c r="U13" s="968"/>
      <c r="V13" s="968"/>
      <c r="W13" s="968"/>
      <c r="X13" s="968"/>
      <c r="Y13" s="968"/>
      <c r="Z13" s="968"/>
      <c r="AA13" s="968"/>
      <c r="AB13" s="968"/>
      <c r="AC13" s="968"/>
      <c r="AD13" s="968"/>
      <c r="AE13" s="968"/>
      <c r="AF13" s="968"/>
      <c r="AG13" s="968"/>
      <c r="AH13" s="968"/>
      <c r="AI13" s="968"/>
      <c r="AJ13" s="968"/>
      <c r="AK13" s="968"/>
      <c r="AL13" s="968"/>
      <c r="AM13" s="968"/>
      <c r="AN13" s="968"/>
      <c r="AO13" s="968"/>
      <c r="AP13" s="968"/>
      <c r="AQ13" s="968"/>
      <c r="AR13" s="968"/>
      <c r="AS13" s="968"/>
      <c r="AT13" s="968"/>
      <c r="AU13" s="968"/>
      <c r="AV13" s="968"/>
      <c r="AW13" s="968"/>
      <c r="AX13" s="968"/>
      <c r="AY13" s="968"/>
      <c r="AZ13" s="968"/>
      <c r="BA13" s="968"/>
      <c r="BB13" s="968"/>
      <c r="BC13" s="968"/>
      <c r="BD13" s="968"/>
      <c r="BE13" s="968"/>
      <c r="BF13" s="968"/>
      <c r="BG13" s="968"/>
      <c r="BH13" s="968"/>
      <c r="BI13" s="968"/>
      <c r="BJ13" s="968"/>
      <c r="BK13" s="968"/>
      <c r="BL13" s="968"/>
      <c r="BM13" s="968"/>
      <c r="BN13" s="968"/>
      <c r="BO13" s="968"/>
      <c r="BP13" s="968"/>
      <c r="BQ13" s="968"/>
      <c r="BR13" s="968"/>
      <c r="BS13" s="968"/>
      <c r="BT13" s="968"/>
      <c r="BU13" s="968"/>
      <c r="BV13" s="968"/>
      <c r="BW13" s="968"/>
      <c r="BX13" s="968"/>
      <c r="BY13" s="968"/>
      <c r="BZ13" s="968"/>
      <c r="CA13" s="968"/>
      <c r="CB13" s="968"/>
      <c r="CC13" s="968"/>
      <c r="CD13" s="968"/>
      <c r="CE13" s="968"/>
      <c r="CF13" s="972" t="s">
        <v>953</v>
      </c>
      <c r="CG13" s="973"/>
      <c r="CH13" s="973"/>
      <c r="CI13" s="973"/>
      <c r="CJ13" s="973"/>
      <c r="CK13" s="973"/>
      <c r="CL13" s="973"/>
      <c r="CM13" s="974"/>
      <c r="CN13" s="353" t="s">
        <v>18</v>
      </c>
      <c r="CO13" s="353" t="s">
        <v>18</v>
      </c>
      <c r="CP13" s="353"/>
      <c r="CQ13" s="484">
        <v>0</v>
      </c>
      <c r="CR13" s="354">
        <v>0</v>
      </c>
      <c r="CS13" s="354">
        <v>0</v>
      </c>
      <c r="CT13" s="374">
        <v>0</v>
      </c>
    </row>
    <row r="14" spans="1:98" s="94" customFormat="1" ht="28.5" customHeight="1">
      <c r="A14" s="967" t="s">
        <v>954</v>
      </c>
      <c r="B14" s="968"/>
      <c r="C14" s="968"/>
      <c r="D14" s="968"/>
      <c r="E14" s="968"/>
      <c r="F14" s="968"/>
      <c r="G14" s="968"/>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8"/>
      <c r="AY14" s="968"/>
      <c r="AZ14" s="968"/>
      <c r="BA14" s="968"/>
      <c r="BB14" s="968"/>
      <c r="BC14" s="968"/>
      <c r="BD14" s="968"/>
      <c r="BE14" s="968"/>
      <c r="BF14" s="968"/>
      <c r="BG14" s="968"/>
      <c r="BH14" s="968"/>
      <c r="BI14" s="968"/>
      <c r="BJ14" s="968"/>
      <c r="BK14" s="968"/>
      <c r="BL14" s="968"/>
      <c r="BM14" s="968"/>
      <c r="BN14" s="968"/>
      <c r="BO14" s="968"/>
      <c r="BP14" s="968"/>
      <c r="BQ14" s="968"/>
      <c r="BR14" s="968"/>
      <c r="BS14" s="968"/>
      <c r="BT14" s="968"/>
      <c r="BU14" s="968"/>
      <c r="BV14" s="968"/>
      <c r="BW14" s="968"/>
      <c r="BX14" s="968"/>
      <c r="BY14" s="968"/>
      <c r="BZ14" s="968"/>
      <c r="CA14" s="968"/>
      <c r="CB14" s="968"/>
      <c r="CC14" s="968"/>
      <c r="CD14" s="968"/>
      <c r="CE14" s="968"/>
      <c r="CF14" s="972" t="s">
        <v>119</v>
      </c>
      <c r="CG14" s="973"/>
      <c r="CH14" s="973"/>
      <c r="CI14" s="973"/>
      <c r="CJ14" s="973"/>
      <c r="CK14" s="973"/>
      <c r="CL14" s="973"/>
      <c r="CM14" s="974"/>
      <c r="CN14" s="353" t="s">
        <v>18</v>
      </c>
      <c r="CO14" s="353" t="s">
        <v>18</v>
      </c>
      <c r="CP14" s="353"/>
      <c r="CQ14" s="484">
        <v>0</v>
      </c>
      <c r="CR14" s="354">
        <v>0</v>
      </c>
      <c r="CS14" s="354">
        <v>0</v>
      </c>
      <c r="CT14" s="374">
        <v>0</v>
      </c>
    </row>
    <row r="15" spans="1:98" customFormat="1" ht="66" customHeight="1">
      <c r="A15" s="1021" t="s">
        <v>955</v>
      </c>
      <c r="B15" s="1017"/>
      <c r="C15" s="1017"/>
      <c r="D15" s="1017"/>
      <c r="E15" s="1017"/>
      <c r="F15" s="1017"/>
      <c r="G15" s="1017"/>
      <c r="H15" s="1017"/>
      <c r="I15" s="1017"/>
      <c r="J15" s="1017"/>
      <c r="K15" s="1017"/>
      <c r="L15" s="1017"/>
      <c r="M15" s="1017"/>
      <c r="N15" s="1017"/>
      <c r="O15" s="1017"/>
      <c r="P15" s="1017"/>
      <c r="Q15" s="1017"/>
      <c r="R15" s="1017"/>
      <c r="S15" s="1017"/>
      <c r="T15" s="1017"/>
      <c r="U15" s="1017"/>
      <c r="V15" s="1017"/>
      <c r="W15" s="1017"/>
      <c r="X15" s="1017"/>
      <c r="Y15" s="1017"/>
      <c r="Z15" s="1017"/>
      <c r="AA15" s="1017"/>
      <c r="AB15" s="1017"/>
      <c r="AC15" s="1017"/>
      <c r="AD15" s="1017"/>
      <c r="AE15" s="1017"/>
      <c r="AF15" s="1017"/>
      <c r="AG15" s="1017"/>
      <c r="AH15" s="1017"/>
      <c r="AI15" s="1017"/>
      <c r="AJ15" s="1017"/>
      <c r="AK15" s="1017"/>
      <c r="AL15" s="1017"/>
      <c r="AM15" s="1017"/>
      <c r="AN15" s="1017"/>
      <c r="AO15" s="1017"/>
      <c r="AP15" s="1017"/>
      <c r="AQ15" s="1017"/>
      <c r="AR15" s="1017"/>
      <c r="AS15" s="1017"/>
      <c r="AT15" s="1017"/>
      <c r="AU15" s="1017"/>
      <c r="AV15" s="1017"/>
      <c r="AW15" s="1017"/>
      <c r="AX15" s="1017"/>
      <c r="AY15" s="1017"/>
      <c r="AZ15" s="1017"/>
      <c r="BA15" s="1017"/>
      <c r="BB15" s="1017"/>
      <c r="BC15" s="1017"/>
      <c r="BD15" s="1017"/>
      <c r="BE15" s="1017"/>
      <c r="BF15" s="1017"/>
      <c r="BG15" s="1017"/>
      <c r="BH15" s="1017"/>
      <c r="BI15" s="1017"/>
      <c r="BJ15" s="1017"/>
      <c r="BK15" s="1017"/>
      <c r="BL15" s="1017"/>
      <c r="BM15" s="1017"/>
      <c r="BN15" s="1017"/>
      <c r="BO15" s="1017"/>
      <c r="BP15" s="1017"/>
      <c r="BQ15" s="1017"/>
      <c r="BR15" s="1017"/>
      <c r="BS15" s="1017"/>
      <c r="BT15" s="1017"/>
      <c r="BU15" s="1017"/>
      <c r="BV15" s="1017"/>
      <c r="BW15" s="1017"/>
      <c r="BX15" s="1017"/>
      <c r="BY15" s="1017"/>
      <c r="BZ15" s="1017"/>
      <c r="CA15" s="1017"/>
      <c r="CB15" s="1017"/>
      <c r="CC15" s="1017"/>
      <c r="CD15" s="1017"/>
      <c r="CE15" s="1017"/>
      <c r="CF15" s="1018" t="s">
        <v>87</v>
      </c>
      <c r="CG15" s="1019"/>
      <c r="CH15" s="1019"/>
      <c r="CI15" s="1019"/>
      <c r="CJ15" s="1019"/>
      <c r="CK15" s="1019"/>
      <c r="CL15" s="1019"/>
      <c r="CM15" s="1020"/>
      <c r="CN15" s="351" t="s">
        <v>18</v>
      </c>
      <c r="CO15" s="351" t="s">
        <v>18</v>
      </c>
      <c r="CP15" s="351"/>
      <c r="CQ15" s="483">
        <f>CQ16+CQ19+CQ23+CQ26+CQ29</f>
        <v>29901922.539999999</v>
      </c>
      <c r="CR15" s="352">
        <f>CR16+CR19+CR23+CR26+CR29</f>
        <v>27151751.009999998</v>
      </c>
      <c r="CS15" s="352">
        <f>CS16+CS19+CS23+CS26+CS29</f>
        <v>25851783.710000001</v>
      </c>
      <c r="CT15" s="373">
        <f>CT16+CT19+CT23+CT26+CT29</f>
        <v>0</v>
      </c>
    </row>
    <row r="16" spans="1:98" customFormat="1" ht="65.25" customHeight="1">
      <c r="A16" s="1022" t="s">
        <v>956</v>
      </c>
      <c r="B16" s="1023"/>
      <c r="C16" s="1023"/>
      <c r="D16" s="1023"/>
      <c r="E16" s="1023"/>
      <c r="F16" s="1023"/>
      <c r="G16" s="1023"/>
      <c r="H16" s="1023"/>
      <c r="I16" s="1023"/>
      <c r="J16" s="1023"/>
      <c r="K16" s="1023"/>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1023"/>
      <c r="AI16" s="1023"/>
      <c r="AJ16" s="1023"/>
      <c r="AK16" s="1023"/>
      <c r="AL16" s="1023"/>
      <c r="AM16" s="1023"/>
      <c r="AN16" s="1023"/>
      <c r="AO16" s="1023"/>
      <c r="AP16" s="1023"/>
      <c r="AQ16" s="1023"/>
      <c r="AR16" s="1023"/>
      <c r="AS16" s="1023"/>
      <c r="AT16" s="1023"/>
      <c r="AU16" s="1023"/>
      <c r="AV16" s="1023"/>
      <c r="AW16" s="1023"/>
      <c r="AX16" s="1023"/>
      <c r="AY16" s="1023"/>
      <c r="AZ16" s="1023"/>
      <c r="BA16" s="1023"/>
      <c r="BB16" s="1023"/>
      <c r="BC16" s="1023"/>
      <c r="BD16" s="1023"/>
      <c r="BE16" s="1023"/>
      <c r="BF16" s="1023"/>
      <c r="BG16" s="1023"/>
      <c r="BH16" s="1023"/>
      <c r="BI16" s="1023"/>
      <c r="BJ16" s="1023"/>
      <c r="BK16" s="1023"/>
      <c r="BL16" s="1023"/>
      <c r="BM16" s="1023"/>
      <c r="BN16" s="1023"/>
      <c r="BO16" s="1023"/>
      <c r="BP16" s="1023"/>
      <c r="BQ16" s="1023"/>
      <c r="BR16" s="1023"/>
      <c r="BS16" s="1023"/>
      <c r="BT16" s="1023"/>
      <c r="BU16" s="1023"/>
      <c r="BV16" s="1023"/>
      <c r="BW16" s="1023"/>
      <c r="BX16" s="1023"/>
      <c r="BY16" s="1023"/>
      <c r="BZ16" s="1023"/>
      <c r="CA16" s="1023"/>
      <c r="CB16" s="1023"/>
      <c r="CC16" s="1023"/>
      <c r="CD16" s="1023"/>
      <c r="CE16" s="1023"/>
      <c r="CF16" s="1018" t="s">
        <v>88</v>
      </c>
      <c r="CG16" s="1019"/>
      <c r="CH16" s="1019"/>
      <c r="CI16" s="1019"/>
      <c r="CJ16" s="1019"/>
      <c r="CK16" s="1019"/>
      <c r="CL16" s="1019"/>
      <c r="CM16" s="1020"/>
      <c r="CN16" s="351" t="s">
        <v>18</v>
      </c>
      <c r="CO16" s="351" t="s">
        <v>18</v>
      </c>
      <c r="CP16" s="351"/>
      <c r="CQ16" s="483">
        <f>SUM(CQ17:CQ18)</f>
        <v>25304245.709999997</v>
      </c>
      <c r="CR16" s="352">
        <f>SUM(CR17:CR18)</f>
        <v>22763665.41</v>
      </c>
      <c r="CS16" s="352">
        <f>SUM(CS17:CS18)</f>
        <v>21873698.109999999</v>
      </c>
      <c r="CT16" s="373">
        <f>SUM(CT17:CT18)</f>
        <v>0</v>
      </c>
    </row>
    <row r="17" spans="1:99" customFormat="1" ht="48" customHeight="1">
      <c r="A17" s="967" t="s">
        <v>957</v>
      </c>
      <c r="B17" s="968"/>
      <c r="C17" s="968"/>
      <c r="D17" s="968"/>
      <c r="E17" s="968"/>
      <c r="F17" s="968"/>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c r="AE17" s="968"/>
      <c r="AF17" s="968"/>
      <c r="AG17" s="968"/>
      <c r="AH17" s="968"/>
      <c r="AI17" s="968"/>
      <c r="AJ17" s="968"/>
      <c r="AK17" s="968"/>
      <c r="AL17" s="968"/>
      <c r="AM17" s="968"/>
      <c r="AN17" s="968"/>
      <c r="AO17" s="968"/>
      <c r="AP17" s="968"/>
      <c r="AQ17" s="968"/>
      <c r="AR17" s="968"/>
      <c r="AS17" s="968"/>
      <c r="AT17" s="968"/>
      <c r="AU17" s="968"/>
      <c r="AV17" s="968"/>
      <c r="AW17" s="968"/>
      <c r="AX17" s="968"/>
      <c r="AY17" s="968"/>
      <c r="AZ17" s="968"/>
      <c r="BA17" s="968"/>
      <c r="BB17" s="968"/>
      <c r="BC17" s="968"/>
      <c r="BD17" s="968"/>
      <c r="BE17" s="968"/>
      <c r="BF17" s="968"/>
      <c r="BG17" s="968"/>
      <c r="BH17" s="968"/>
      <c r="BI17" s="968"/>
      <c r="BJ17" s="968"/>
      <c r="BK17" s="968"/>
      <c r="BL17" s="968"/>
      <c r="BM17" s="968"/>
      <c r="BN17" s="968"/>
      <c r="BO17" s="968"/>
      <c r="BP17" s="968"/>
      <c r="BQ17" s="968"/>
      <c r="BR17" s="968"/>
      <c r="BS17" s="968"/>
      <c r="BT17" s="968"/>
      <c r="BU17" s="968"/>
      <c r="BV17" s="968"/>
      <c r="BW17" s="968"/>
      <c r="BX17" s="968"/>
      <c r="BY17" s="968"/>
      <c r="BZ17" s="968"/>
      <c r="CA17" s="968"/>
      <c r="CB17" s="968"/>
      <c r="CC17" s="968"/>
      <c r="CD17" s="968"/>
      <c r="CE17" s="968"/>
      <c r="CF17" s="969" t="s">
        <v>89</v>
      </c>
      <c r="CG17" s="970"/>
      <c r="CH17" s="970"/>
      <c r="CI17" s="970"/>
      <c r="CJ17" s="970"/>
      <c r="CK17" s="970"/>
      <c r="CL17" s="970"/>
      <c r="CM17" s="971"/>
      <c r="CN17" s="353" t="s">
        <v>18</v>
      </c>
      <c r="CO17" s="353" t="s">
        <v>18</v>
      </c>
      <c r="CP17" s="353"/>
      <c r="CQ17" s="484">
        <v>0</v>
      </c>
      <c r="CR17" s="354">
        <v>0</v>
      </c>
      <c r="CS17" s="354">
        <v>0</v>
      </c>
      <c r="CT17" s="374">
        <v>0</v>
      </c>
    </row>
    <row r="18" spans="1:99" customFormat="1" ht="38.25" customHeight="1">
      <c r="A18" s="967" t="s">
        <v>974</v>
      </c>
      <c r="B18" s="968"/>
      <c r="C18" s="968"/>
      <c r="D18" s="968"/>
      <c r="E18" s="968"/>
      <c r="F18" s="968"/>
      <c r="G18" s="968"/>
      <c r="H18" s="968"/>
      <c r="I18" s="968"/>
      <c r="J18" s="968"/>
      <c r="K18" s="968"/>
      <c r="L18" s="968"/>
      <c r="M18" s="968"/>
      <c r="N18" s="968"/>
      <c r="O18" s="968"/>
      <c r="P18" s="968"/>
      <c r="Q18" s="968"/>
      <c r="R18" s="968"/>
      <c r="S18" s="968"/>
      <c r="T18" s="968"/>
      <c r="U18" s="968"/>
      <c r="V18" s="968"/>
      <c r="W18" s="968"/>
      <c r="X18" s="968"/>
      <c r="Y18" s="968"/>
      <c r="Z18" s="968"/>
      <c r="AA18" s="968"/>
      <c r="AB18" s="968"/>
      <c r="AC18" s="968"/>
      <c r="AD18" s="968"/>
      <c r="AE18" s="968"/>
      <c r="AF18" s="968"/>
      <c r="AG18" s="968"/>
      <c r="AH18" s="968"/>
      <c r="AI18" s="968"/>
      <c r="AJ18" s="968"/>
      <c r="AK18" s="968"/>
      <c r="AL18" s="968"/>
      <c r="AM18" s="968"/>
      <c r="AN18" s="968"/>
      <c r="AO18" s="968"/>
      <c r="AP18" s="968"/>
      <c r="AQ18" s="968"/>
      <c r="AR18" s="968"/>
      <c r="AS18" s="968"/>
      <c r="AT18" s="968"/>
      <c r="AU18" s="968"/>
      <c r="AV18" s="968"/>
      <c r="AW18" s="968"/>
      <c r="AX18" s="968"/>
      <c r="AY18" s="968"/>
      <c r="AZ18" s="968"/>
      <c r="BA18" s="968"/>
      <c r="BB18" s="968"/>
      <c r="BC18" s="968"/>
      <c r="BD18" s="968"/>
      <c r="BE18" s="968"/>
      <c r="BF18" s="968"/>
      <c r="BG18" s="968"/>
      <c r="BH18" s="968"/>
      <c r="BI18" s="968"/>
      <c r="BJ18" s="968"/>
      <c r="BK18" s="968"/>
      <c r="BL18" s="968"/>
      <c r="BM18" s="968"/>
      <c r="BN18" s="968"/>
      <c r="BO18" s="968"/>
      <c r="BP18" s="968"/>
      <c r="BQ18" s="968"/>
      <c r="BR18" s="968"/>
      <c r="BS18" s="968"/>
      <c r="BT18" s="968"/>
      <c r="BU18" s="968"/>
      <c r="BV18" s="968"/>
      <c r="BW18" s="968"/>
      <c r="BX18" s="968"/>
      <c r="BY18" s="968"/>
      <c r="BZ18" s="968"/>
      <c r="CA18" s="968"/>
      <c r="CB18" s="968"/>
      <c r="CC18" s="968"/>
      <c r="CD18" s="968"/>
      <c r="CE18" s="968"/>
      <c r="CF18" s="969" t="s">
        <v>90</v>
      </c>
      <c r="CG18" s="970"/>
      <c r="CH18" s="970"/>
      <c r="CI18" s="970"/>
      <c r="CJ18" s="970"/>
      <c r="CK18" s="970"/>
      <c r="CL18" s="970"/>
      <c r="CM18" s="971"/>
      <c r="CN18" s="353" t="s">
        <v>18</v>
      </c>
      <c r="CO18" s="353" t="s">
        <v>18</v>
      </c>
      <c r="CP18" s="353"/>
      <c r="CQ18" s="874">
        <f>21808835.81+3495409.9</f>
        <v>25304245.709999997</v>
      </c>
      <c r="CR18" s="875">
        <v>22763665.41</v>
      </c>
      <c r="CS18" s="875">
        <v>21873698.109999999</v>
      </c>
      <c r="CT18" s="374">
        <v>0</v>
      </c>
      <c r="CU18" s="85">
        <f>CQ18-'[2]ФХД_ Сведения по выплатам на з'!$CX$10</f>
        <v>6437657.4399999976</v>
      </c>
    </row>
    <row r="19" spans="1:99" customFormat="1" ht="44.25" customHeight="1">
      <c r="A19" s="1022" t="s">
        <v>958</v>
      </c>
      <c r="B19" s="1023"/>
      <c r="C19" s="1023"/>
      <c r="D19" s="1023"/>
      <c r="E19" s="1023"/>
      <c r="F19" s="1023"/>
      <c r="G19" s="1023"/>
      <c r="H19" s="1023"/>
      <c r="I19" s="1023"/>
      <c r="J19" s="1023"/>
      <c r="K19" s="1023"/>
      <c r="L19" s="1023"/>
      <c r="M19" s="1023"/>
      <c r="N19" s="1023"/>
      <c r="O19" s="1023"/>
      <c r="P19" s="1023"/>
      <c r="Q19" s="1023"/>
      <c r="R19" s="1023"/>
      <c r="S19" s="1023"/>
      <c r="T19" s="1023"/>
      <c r="U19" s="1023"/>
      <c r="V19" s="1023"/>
      <c r="W19" s="1023"/>
      <c r="X19" s="1023"/>
      <c r="Y19" s="1023"/>
      <c r="Z19" s="1023"/>
      <c r="AA19" s="1023"/>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18" t="s">
        <v>91</v>
      </c>
      <c r="CG19" s="1019"/>
      <c r="CH19" s="1019"/>
      <c r="CI19" s="1019"/>
      <c r="CJ19" s="1019"/>
      <c r="CK19" s="1019"/>
      <c r="CL19" s="1019"/>
      <c r="CM19" s="1020"/>
      <c r="CN19" s="351" t="s">
        <v>18</v>
      </c>
      <c r="CO19" s="351" t="s">
        <v>18</v>
      </c>
      <c r="CP19" s="351"/>
      <c r="CQ19" s="483">
        <f>SUM(CQ20:CQ22)</f>
        <v>0</v>
      </c>
      <c r="CR19" s="352">
        <f>SUM(CR20:CR22)</f>
        <v>0</v>
      </c>
      <c r="CS19" s="352">
        <f>SUM(CS20:CS22)</f>
        <v>0</v>
      </c>
      <c r="CT19" s="373">
        <f>SUM(CT20:CT22)</f>
        <v>0</v>
      </c>
    </row>
    <row r="20" spans="1:99" customFormat="1" ht="45" customHeight="1">
      <c r="A20" s="967" t="s">
        <v>959</v>
      </c>
      <c r="B20" s="968"/>
      <c r="C20" s="968"/>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968"/>
      <c r="AM20" s="968"/>
      <c r="AN20" s="968"/>
      <c r="AO20" s="968"/>
      <c r="AP20" s="968"/>
      <c r="AQ20" s="968"/>
      <c r="AR20" s="968"/>
      <c r="AS20" s="968"/>
      <c r="AT20" s="968"/>
      <c r="AU20" s="968"/>
      <c r="AV20" s="968"/>
      <c r="AW20" s="968"/>
      <c r="AX20" s="968"/>
      <c r="AY20" s="968"/>
      <c r="AZ20" s="968"/>
      <c r="BA20" s="968"/>
      <c r="BB20" s="968"/>
      <c r="BC20" s="968"/>
      <c r="BD20" s="968"/>
      <c r="BE20" s="968"/>
      <c r="BF20" s="968"/>
      <c r="BG20" s="968"/>
      <c r="BH20" s="968"/>
      <c r="BI20" s="968"/>
      <c r="BJ20" s="968"/>
      <c r="BK20" s="968"/>
      <c r="BL20" s="968"/>
      <c r="BM20" s="968"/>
      <c r="BN20" s="968"/>
      <c r="BO20" s="968"/>
      <c r="BP20" s="968"/>
      <c r="BQ20" s="968"/>
      <c r="BR20" s="968"/>
      <c r="BS20" s="968"/>
      <c r="BT20" s="968"/>
      <c r="BU20" s="968"/>
      <c r="BV20" s="968"/>
      <c r="BW20" s="968"/>
      <c r="BX20" s="968"/>
      <c r="BY20" s="968"/>
      <c r="BZ20" s="968"/>
      <c r="CA20" s="968"/>
      <c r="CB20" s="968"/>
      <c r="CC20" s="968"/>
      <c r="CD20" s="968"/>
      <c r="CE20" s="968"/>
      <c r="CF20" s="969" t="s">
        <v>92</v>
      </c>
      <c r="CG20" s="970"/>
      <c r="CH20" s="970"/>
      <c r="CI20" s="970"/>
      <c r="CJ20" s="970"/>
      <c r="CK20" s="970"/>
      <c r="CL20" s="970"/>
      <c r="CM20" s="971"/>
      <c r="CN20" s="353" t="s">
        <v>18</v>
      </c>
      <c r="CO20" s="353" t="s">
        <v>18</v>
      </c>
      <c r="CP20" s="353"/>
      <c r="CQ20" s="484">
        <v>0</v>
      </c>
      <c r="CR20" s="354">
        <v>0</v>
      </c>
      <c r="CS20" s="354">
        <v>0</v>
      </c>
      <c r="CT20" s="374">
        <v>0</v>
      </c>
    </row>
    <row r="21" spans="1:99" s="94" customFormat="1" ht="33.75" customHeight="1">
      <c r="A21" s="967" t="s">
        <v>905</v>
      </c>
      <c r="B21" s="968"/>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72" t="s">
        <v>120</v>
      </c>
      <c r="CG21" s="973"/>
      <c r="CH21" s="973"/>
      <c r="CI21" s="973"/>
      <c r="CJ21" s="973"/>
      <c r="CK21" s="973"/>
      <c r="CL21" s="973"/>
      <c r="CM21" s="974"/>
      <c r="CN21" s="353"/>
      <c r="CO21" s="353"/>
      <c r="CP21" s="353"/>
      <c r="CQ21" s="484">
        <v>0</v>
      </c>
      <c r="CR21" s="354">
        <v>0</v>
      </c>
      <c r="CS21" s="354">
        <v>0</v>
      </c>
      <c r="CT21" s="374">
        <v>0</v>
      </c>
    </row>
    <row r="22" spans="1:99" customFormat="1" ht="36" customHeight="1">
      <c r="A22" s="967" t="s">
        <v>960</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8"/>
      <c r="AY22" s="968"/>
      <c r="AZ22" s="968"/>
      <c r="BA22" s="968"/>
      <c r="BB22" s="968"/>
      <c r="BC22" s="968"/>
      <c r="BD22" s="968"/>
      <c r="BE22" s="968"/>
      <c r="BF22" s="968"/>
      <c r="BG22" s="968"/>
      <c r="BH22" s="968"/>
      <c r="BI22" s="968"/>
      <c r="BJ22" s="968"/>
      <c r="BK22" s="968"/>
      <c r="BL22" s="968"/>
      <c r="BM22" s="968"/>
      <c r="BN22" s="968"/>
      <c r="BO22" s="968"/>
      <c r="BP22" s="968"/>
      <c r="BQ22" s="968"/>
      <c r="BR22" s="968"/>
      <c r="BS22" s="968"/>
      <c r="BT22" s="968"/>
      <c r="BU22" s="968"/>
      <c r="BV22" s="968"/>
      <c r="BW22" s="968"/>
      <c r="BX22" s="968"/>
      <c r="BY22" s="968"/>
      <c r="BZ22" s="968"/>
      <c r="CA22" s="968"/>
      <c r="CB22" s="968"/>
      <c r="CC22" s="968"/>
      <c r="CD22" s="968"/>
      <c r="CE22" s="968"/>
      <c r="CF22" s="969" t="s">
        <v>93</v>
      </c>
      <c r="CG22" s="970"/>
      <c r="CH22" s="970"/>
      <c r="CI22" s="970"/>
      <c r="CJ22" s="970"/>
      <c r="CK22" s="970"/>
      <c r="CL22" s="970"/>
      <c r="CM22" s="971"/>
      <c r="CN22" s="353" t="s">
        <v>18</v>
      </c>
      <c r="CO22" s="353" t="s">
        <v>18</v>
      </c>
      <c r="CP22" s="353"/>
      <c r="CQ22" s="484">
        <v>0</v>
      </c>
      <c r="CR22" s="354">
        <v>0</v>
      </c>
      <c r="CS22" s="354">
        <v>0</v>
      </c>
      <c r="CT22" s="374">
        <v>0</v>
      </c>
    </row>
    <row r="23" spans="1:99" customFormat="1" ht="39.75" customHeight="1">
      <c r="A23" s="1021" t="s">
        <v>961</v>
      </c>
      <c r="B23" s="1017"/>
      <c r="C23" s="1017"/>
      <c r="D23" s="1017"/>
      <c r="E23" s="1017"/>
      <c r="F23" s="1017"/>
      <c r="G23" s="1017"/>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017"/>
      <c r="AG23" s="1017"/>
      <c r="AH23" s="1017"/>
      <c r="AI23" s="1017"/>
      <c r="AJ23" s="1017"/>
      <c r="AK23" s="1017"/>
      <c r="AL23" s="1017"/>
      <c r="AM23" s="1017"/>
      <c r="AN23" s="1017"/>
      <c r="AO23" s="1017"/>
      <c r="AP23" s="1017"/>
      <c r="AQ23" s="1017"/>
      <c r="AR23" s="1017"/>
      <c r="AS23" s="1017"/>
      <c r="AT23" s="1017"/>
      <c r="AU23" s="1017"/>
      <c r="AV23" s="1017"/>
      <c r="AW23" s="1017"/>
      <c r="AX23" s="1017"/>
      <c r="AY23" s="1017"/>
      <c r="AZ23" s="1017"/>
      <c r="BA23" s="1017"/>
      <c r="BB23" s="1017"/>
      <c r="BC23" s="1017"/>
      <c r="BD23" s="1017"/>
      <c r="BE23" s="1017"/>
      <c r="BF23" s="1017"/>
      <c r="BG23" s="1017"/>
      <c r="BH23" s="1017"/>
      <c r="BI23" s="1017"/>
      <c r="BJ23" s="1017"/>
      <c r="BK23" s="1017"/>
      <c r="BL23" s="1017"/>
      <c r="BM23" s="1017"/>
      <c r="BN23" s="1017"/>
      <c r="BO23" s="1017"/>
      <c r="BP23" s="1017"/>
      <c r="BQ23" s="1017"/>
      <c r="BR23" s="1017"/>
      <c r="BS23" s="1017"/>
      <c r="BT23" s="1017"/>
      <c r="BU23" s="1017"/>
      <c r="BV23" s="1017"/>
      <c r="BW23" s="1017"/>
      <c r="BX23" s="1017"/>
      <c r="BY23" s="1017"/>
      <c r="BZ23" s="1017"/>
      <c r="CA23" s="1017"/>
      <c r="CB23" s="1017"/>
      <c r="CC23" s="1017"/>
      <c r="CD23" s="1017"/>
      <c r="CE23" s="1017"/>
      <c r="CF23" s="1018" t="s">
        <v>94</v>
      </c>
      <c r="CG23" s="1019"/>
      <c r="CH23" s="1019"/>
      <c r="CI23" s="1019"/>
      <c r="CJ23" s="1019"/>
      <c r="CK23" s="1019"/>
      <c r="CL23" s="1019"/>
      <c r="CM23" s="1020"/>
      <c r="CN23" s="351" t="s">
        <v>18</v>
      </c>
      <c r="CO23" s="351" t="s">
        <v>18</v>
      </c>
      <c r="CP23" s="351"/>
      <c r="CQ23" s="483">
        <v>0</v>
      </c>
      <c r="CR23" s="352">
        <v>0</v>
      </c>
      <c r="CS23" s="352">
        <v>0</v>
      </c>
      <c r="CT23" s="373">
        <v>0</v>
      </c>
    </row>
    <row r="24" spans="1:99" s="94" customFormat="1" ht="32.25" customHeight="1">
      <c r="A24" s="967" t="s">
        <v>45</v>
      </c>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68"/>
      <c r="AQ24" s="968"/>
      <c r="AR24" s="968"/>
      <c r="AS24" s="968"/>
      <c r="AT24" s="968"/>
      <c r="AU24" s="968"/>
      <c r="AV24" s="968"/>
      <c r="AW24" s="968"/>
      <c r="AX24" s="968"/>
      <c r="AY24" s="968"/>
      <c r="AZ24" s="968"/>
      <c r="BA24" s="968"/>
      <c r="BB24" s="968"/>
      <c r="BC24" s="968"/>
      <c r="BD24" s="968"/>
      <c r="BE24" s="968"/>
      <c r="BF24" s="968"/>
      <c r="BG24" s="968"/>
      <c r="BH24" s="968"/>
      <c r="BI24" s="968"/>
      <c r="BJ24" s="968"/>
      <c r="BK24" s="968"/>
      <c r="BL24" s="968"/>
      <c r="BM24" s="968"/>
      <c r="BN24" s="968"/>
      <c r="BO24" s="968"/>
      <c r="BP24" s="968"/>
      <c r="BQ24" s="968"/>
      <c r="BR24" s="968"/>
      <c r="BS24" s="968"/>
      <c r="BT24" s="968"/>
      <c r="BU24" s="968"/>
      <c r="BV24" s="968"/>
      <c r="BW24" s="968"/>
      <c r="BX24" s="968"/>
      <c r="BY24" s="968"/>
      <c r="BZ24" s="968"/>
      <c r="CA24" s="968"/>
      <c r="CB24" s="968"/>
      <c r="CC24" s="968"/>
      <c r="CD24" s="968"/>
      <c r="CE24" s="968"/>
      <c r="CF24" s="972" t="s">
        <v>121</v>
      </c>
      <c r="CG24" s="973"/>
      <c r="CH24" s="973"/>
      <c r="CI24" s="973"/>
      <c r="CJ24" s="973"/>
      <c r="CK24" s="973"/>
      <c r="CL24" s="973"/>
      <c r="CM24" s="974"/>
      <c r="CN24" s="353"/>
      <c r="CO24" s="353"/>
      <c r="CP24" s="353"/>
      <c r="CQ24" s="484">
        <v>0</v>
      </c>
      <c r="CR24" s="354">
        <v>0</v>
      </c>
      <c r="CS24" s="354">
        <v>0</v>
      </c>
      <c r="CT24" s="374">
        <v>0</v>
      </c>
    </row>
    <row r="25" spans="1:99" s="94" customFormat="1" ht="34.5" customHeight="1">
      <c r="A25" s="967" t="s">
        <v>45</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c r="BG25" s="968"/>
      <c r="BH25" s="968"/>
      <c r="BI25" s="968"/>
      <c r="BJ25" s="968"/>
      <c r="BK25" s="968"/>
      <c r="BL25" s="968"/>
      <c r="BM25" s="968"/>
      <c r="BN25" s="968"/>
      <c r="BO25" s="968"/>
      <c r="BP25" s="968"/>
      <c r="BQ25" s="968"/>
      <c r="BR25" s="968"/>
      <c r="BS25" s="968"/>
      <c r="BT25" s="968"/>
      <c r="BU25" s="968"/>
      <c r="BV25" s="968"/>
      <c r="BW25" s="968"/>
      <c r="BX25" s="968"/>
      <c r="BY25" s="968"/>
      <c r="BZ25" s="968"/>
      <c r="CA25" s="968"/>
      <c r="CB25" s="968"/>
      <c r="CC25" s="968"/>
      <c r="CD25" s="968"/>
      <c r="CE25" s="968"/>
      <c r="CF25" s="972" t="s">
        <v>962</v>
      </c>
      <c r="CG25" s="973"/>
      <c r="CH25" s="973"/>
      <c r="CI25" s="973"/>
      <c r="CJ25" s="973"/>
      <c r="CK25" s="973"/>
      <c r="CL25" s="973"/>
      <c r="CM25" s="974"/>
      <c r="CN25" s="353"/>
      <c r="CO25" s="353"/>
      <c r="CP25" s="353"/>
      <c r="CQ25" s="484">
        <v>0</v>
      </c>
      <c r="CR25" s="354">
        <v>0</v>
      </c>
      <c r="CS25" s="354">
        <v>0</v>
      </c>
      <c r="CT25" s="374">
        <v>0</v>
      </c>
    </row>
    <row r="26" spans="1:99" s="94" customFormat="1" ht="40.5" customHeight="1">
      <c r="A26" s="1022" t="s">
        <v>963</v>
      </c>
      <c r="B26" s="1023"/>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1023"/>
      <c r="AM26" s="1023"/>
      <c r="AN26" s="1023"/>
      <c r="AO26" s="1023"/>
      <c r="AP26" s="1023"/>
      <c r="AQ26" s="1023"/>
      <c r="AR26" s="1023"/>
      <c r="AS26" s="1023"/>
      <c r="AT26" s="1023"/>
      <c r="AU26" s="1023"/>
      <c r="AV26" s="1023"/>
      <c r="AW26" s="1023"/>
      <c r="AX26" s="1023"/>
      <c r="AY26" s="1023"/>
      <c r="AZ26" s="1023"/>
      <c r="BA26" s="1023"/>
      <c r="BB26" s="1023"/>
      <c r="BC26" s="1023"/>
      <c r="BD26" s="1023"/>
      <c r="BE26" s="1023"/>
      <c r="BF26" s="1023"/>
      <c r="BG26" s="1023"/>
      <c r="BH26" s="1023"/>
      <c r="BI26" s="1023"/>
      <c r="BJ26" s="1023"/>
      <c r="BK26" s="1023"/>
      <c r="BL26" s="1023"/>
      <c r="BM26" s="1023"/>
      <c r="BN26" s="1023"/>
      <c r="BO26" s="1023"/>
      <c r="BP26" s="1023"/>
      <c r="BQ26" s="1023"/>
      <c r="BR26" s="1023"/>
      <c r="BS26" s="1023"/>
      <c r="BT26" s="1023"/>
      <c r="BU26" s="1023"/>
      <c r="BV26" s="1023"/>
      <c r="BW26" s="1023"/>
      <c r="BX26" s="1023"/>
      <c r="BY26" s="1023"/>
      <c r="BZ26" s="1023"/>
      <c r="CA26" s="1023"/>
      <c r="CB26" s="1023"/>
      <c r="CC26" s="1023"/>
      <c r="CD26" s="1023"/>
      <c r="CE26" s="1023"/>
      <c r="CF26" s="1026" t="s">
        <v>122</v>
      </c>
      <c r="CG26" s="1027"/>
      <c r="CH26" s="1027"/>
      <c r="CI26" s="1027"/>
      <c r="CJ26" s="1027"/>
      <c r="CK26" s="1027"/>
      <c r="CL26" s="1027"/>
      <c r="CM26" s="1028"/>
      <c r="CN26" s="351" t="s">
        <v>18</v>
      </c>
      <c r="CO26" s="351" t="s">
        <v>18</v>
      </c>
      <c r="CP26" s="351"/>
      <c r="CQ26" s="483">
        <f>SUM(CQ27:CQ28)</f>
        <v>0</v>
      </c>
      <c r="CR26" s="352">
        <f>SUM(CR27:CR28)</f>
        <v>0</v>
      </c>
      <c r="CS26" s="352">
        <f>SUM(CS27:CS28)</f>
        <v>0</v>
      </c>
      <c r="CT26" s="373">
        <f>SUM(CT27:CT28)</f>
        <v>0</v>
      </c>
    </row>
    <row r="27" spans="1:99" s="94" customFormat="1" ht="51.75" customHeight="1">
      <c r="A27" s="967" t="s">
        <v>964</v>
      </c>
      <c r="B27" s="968"/>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c r="AE27" s="968"/>
      <c r="AF27" s="968"/>
      <c r="AG27" s="968"/>
      <c r="AH27" s="968"/>
      <c r="AI27" s="968"/>
      <c r="AJ27" s="968"/>
      <c r="AK27" s="968"/>
      <c r="AL27" s="968"/>
      <c r="AM27" s="968"/>
      <c r="AN27" s="968"/>
      <c r="AO27" s="968"/>
      <c r="AP27" s="968"/>
      <c r="AQ27" s="968"/>
      <c r="AR27" s="968"/>
      <c r="AS27" s="968"/>
      <c r="AT27" s="968"/>
      <c r="AU27" s="968"/>
      <c r="AV27" s="968"/>
      <c r="AW27" s="968"/>
      <c r="AX27" s="968"/>
      <c r="AY27" s="968"/>
      <c r="AZ27" s="968"/>
      <c r="BA27" s="968"/>
      <c r="BB27" s="968"/>
      <c r="BC27" s="968"/>
      <c r="BD27" s="968"/>
      <c r="BE27" s="968"/>
      <c r="BF27" s="968"/>
      <c r="BG27" s="968"/>
      <c r="BH27" s="968"/>
      <c r="BI27" s="968"/>
      <c r="BJ27" s="968"/>
      <c r="BK27" s="968"/>
      <c r="BL27" s="968"/>
      <c r="BM27" s="968"/>
      <c r="BN27" s="968"/>
      <c r="BO27" s="968"/>
      <c r="BP27" s="968"/>
      <c r="BQ27" s="968"/>
      <c r="BR27" s="968"/>
      <c r="BS27" s="968"/>
      <c r="BT27" s="968"/>
      <c r="BU27" s="968"/>
      <c r="BV27" s="968"/>
      <c r="BW27" s="968"/>
      <c r="BX27" s="968"/>
      <c r="BY27" s="968"/>
      <c r="BZ27" s="968"/>
      <c r="CA27" s="968"/>
      <c r="CB27" s="968"/>
      <c r="CC27" s="968"/>
      <c r="CD27" s="968"/>
      <c r="CE27" s="968"/>
      <c r="CF27" s="969" t="s">
        <v>123</v>
      </c>
      <c r="CG27" s="970"/>
      <c r="CH27" s="970"/>
      <c r="CI27" s="970"/>
      <c r="CJ27" s="970"/>
      <c r="CK27" s="970"/>
      <c r="CL27" s="970"/>
      <c r="CM27" s="971"/>
      <c r="CN27" s="353" t="s">
        <v>18</v>
      </c>
      <c r="CO27" s="353" t="s">
        <v>18</v>
      </c>
      <c r="CP27" s="353"/>
      <c r="CQ27" s="484">
        <v>0</v>
      </c>
      <c r="CR27" s="354">
        <v>0</v>
      </c>
      <c r="CS27" s="354">
        <v>0</v>
      </c>
      <c r="CT27" s="374">
        <v>0</v>
      </c>
    </row>
    <row r="28" spans="1:99" s="94" customFormat="1" ht="34.5" customHeight="1">
      <c r="A28" s="967" t="s">
        <v>965</v>
      </c>
      <c r="B28" s="96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c r="BC28" s="968"/>
      <c r="BD28" s="968"/>
      <c r="BE28" s="968"/>
      <c r="BF28" s="968"/>
      <c r="BG28" s="968"/>
      <c r="BH28" s="968"/>
      <c r="BI28" s="968"/>
      <c r="BJ28" s="968"/>
      <c r="BK28" s="968"/>
      <c r="BL28" s="968"/>
      <c r="BM28" s="968"/>
      <c r="BN28" s="968"/>
      <c r="BO28" s="968"/>
      <c r="BP28" s="968"/>
      <c r="BQ28" s="968"/>
      <c r="BR28" s="968"/>
      <c r="BS28" s="968"/>
      <c r="BT28" s="968"/>
      <c r="BU28" s="968"/>
      <c r="BV28" s="968"/>
      <c r="BW28" s="968"/>
      <c r="BX28" s="968"/>
      <c r="BY28" s="968"/>
      <c r="BZ28" s="968"/>
      <c r="CA28" s="968"/>
      <c r="CB28" s="968"/>
      <c r="CC28" s="968"/>
      <c r="CD28" s="968"/>
      <c r="CE28" s="968"/>
      <c r="CF28" s="969" t="s">
        <v>124</v>
      </c>
      <c r="CG28" s="970"/>
      <c r="CH28" s="970"/>
      <c r="CI28" s="970"/>
      <c r="CJ28" s="970"/>
      <c r="CK28" s="970"/>
      <c r="CL28" s="970"/>
      <c r="CM28" s="971"/>
      <c r="CN28" s="353" t="s">
        <v>18</v>
      </c>
      <c r="CO28" s="353" t="s">
        <v>18</v>
      </c>
      <c r="CP28" s="353"/>
      <c r="CQ28" s="484">
        <v>0</v>
      </c>
      <c r="CR28" s="354">
        <v>0</v>
      </c>
      <c r="CS28" s="354">
        <v>0</v>
      </c>
      <c r="CT28" s="374">
        <v>0</v>
      </c>
    </row>
    <row r="29" spans="1:99" customFormat="1" ht="38.25" customHeight="1">
      <c r="A29" s="1021" t="s">
        <v>966</v>
      </c>
      <c r="B29" s="1017"/>
      <c r="C29" s="1017"/>
      <c r="D29" s="1017"/>
      <c r="E29" s="1017"/>
      <c r="F29" s="1017"/>
      <c r="G29" s="1017"/>
      <c r="H29" s="1017"/>
      <c r="I29" s="1017"/>
      <c r="J29" s="1017"/>
      <c r="K29" s="1017"/>
      <c r="L29" s="1017"/>
      <c r="M29" s="1017"/>
      <c r="N29" s="1017"/>
      <c r="O29" s="1017"/>
      <c r="P29" s="1017"/>
      <c r="Q29" s="1017"/>
      <c r="R29" s="1017"/>
      <c r="S29" s="1017"/>
      <c r="T29" s="1017"/>
      <c r="U29" s="1017"/>
      <c r="V29" s="1017"/>
      <c r="W29" s="1017"/>
      <c r="X29" s="1017"/>
      <c r="Y29" s="1017"/>
      <c r="Z29" s="1017"/>
      <c r="AA29" s="1017"/>
      <c r="AB29" s="1017"/>
      <c r="AC29" s="1017"/>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7"/>
      <c r="AY29" s="1017"/>
      <c r="AZ29" s="1017"/>
      <c r="BA29" s="1017"/>
      <c r="BB29" s="1017"/>
      <c r="BC29" s="1017"/>
      <c r="BD29" s="1017"/>
      <c r="BE29" s="1017"/>
      <c r="BF29" s="1017"/>
      <c r="BG29" s="1017"/>
      <c r="BH29" s="1017"/>
      <c r="BI29" s="1017"/>
      <c r="BJ29" s="1017"/>
      <c r="BK29" s="1017"/>
      <c r="BL29" s="1017"/>
      <c r="BM29" s="1017"/>
      <c r="BN29" s="1017"/>
      <c r="BO29" s="1017"/>
      <c r="BP29" s="1017"/>
      <c r="BQ29" s="1017"/>
      <c r="BR29" s="1017"/>
      <c r="BS29" s="1017"/>
      <c r="BT29" s="1017"/>
      <c r="BU29" s="1017"/>
      <c r="BV29" s="1017"/>
      <c r="BW29" s="1017"/>
      <c r="BX29" s="1017"/>
      <c r="BY29" s="1017"/>
      <c r="BZ29" s="1017"/>
      <c r="CA29" s="1017"/>
      <c r="CB29" s="1017"/>
      <c r="CC29" s="1017"/>
      <c r="CD29" s="1017"/>
      <c r="CE29" s="1017"/>
      <c r="CF29" s="1018" t="s">
        <v>95</v>
      </c>
      <c r="CG29" s="1019"/>
      <c r="CH29" s="1019"/>
      <c r="CI29" s="1019"/>
      <c r="CJ29" s="1019"/>
      <c r="CK29" s="1019"/>
      <c r="CL29" s="1019"/>
      <c r="CM29" s="1020"/>
      <c r="CN29" s="351" t="s">
        <v>18</v>
      </c>
      <c r="CO29" s="351" t="s">
        <v>18</v>
      </c>
      <c r="CP29" s="351"/>
      <c r="CQ29" s="483">
        <f>SUM(CQ30:CQ33)</f>
        <v>4597676.83</v>
      </c>
      <c r="CR29" s="352">
        <f>SUM(CR30:CR33)</f>
        <v>4388085.5999999996</v>
      </c>
      <c r="CS29" s="352">
        <f>SUM(CS30:CS33)</f>
        <v>3978085.6</v>
      </c>
      <c r="CT29" s="373">
        <f>SUM(CT30:CT33)</f>
        <v>0</v>
      </c>
    </row>
    <row r="30" spans="1:99" customFormat="1" ht="47.25" customHeight="1">
      <c r="A30" s="967" t="s">
        <v>967</v>
      </c>
      <c r="B30" s="968"/>
      <c r="C30" s="968"/>
      <c r="D30" s="968"/>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68"/>
      <c r="AG30" s="968"/>
      <c r="AH30" s="968"/>
      <c r="AI30" s="968"/>
      <c r="AJ30" s="968"/>
      <c r="AK30" s="968"/>
      <c r="AL30" s="968"/>
      <c r="AM30" s="968"/>
      <c r="AN30" s="968"/>
      <c r="AO30" s="968"/>
      <c r="AP30" s="968"/>
      <c r="AQ30" s="968"/>
      <c r="AR30" s="968"/>
      <c r="AS30" s="968"/>
      <c r="AT30" s="968"/>
      <c r="AU30" s="968"/>
      <c r="AV30" s="968"/>
      <c r="AW30" s="968"/>
      <c r="AX30" s="968"/>
      <c r="AY30" s="968"/>
      <c r="AZ30" s="968"/>
      <c r="BA30" s="968"/>
      <c r="BB30" s="968"/>
      <c r="BC30" s="968"/>
      <c r="BD30" s="968"/>
      <c r="BE30" s="968"/>
      <c r="BF30" s="968"/>
      <c r="BG30" s="968"/>
      <c r="BH30" s="968"/>
      <c r="BI30" s="968"/>
      <c r="BJ30" s="968"/>
      <c r="BK30" s="968"/>
      <c r="BL30" s="968"/>
      <c r="BM30" s="968"/>
      <c r="BN30" s="968"/>
      <c r="BO30" s="968"/>
      <c r="BP30" s="968"/>
      <c r="BQ30" s="968"/>
      <c r="BR30" s="968"/>
      <c r="BS30" s="968"/>
      <c r="BT30" s="968"/>
      <c r="BU30" s="968"/>
      <c r="BV30" s="968"/>
      <c r="BW30" s="968"/>
      <c r="BX30" s="968"/>
      <c r="BY30" s="968"/>
      <c r="BZ30" s="968"/>
      <c r="CA30" s="968"/>
      <c r="CB30" s="968"/>
      <c r="CC30" s="968"/>
      <c r="CD30" s="968"/>
      <c r="CE30" s="968"/>
      <c r="CF30" s="969" t="s">
        <v>96</v>
      </c>
      <c r="CG30" s="970"/>
      <c r="CH30" s="970"/>
      <c r="CI30" s="970"/>
      <c r="CJ30" s="970"/>
      <c r="CK30" s="970"/>
      <c r="CL30" s="970"/>
      <c r="CM30" s="971"/>
      <c r="CN30" s="353" t="s">
        <v>18</v>
      </c>
      <c r="CO30" s="353" t="s">
        <v>18</v>
      </c>
      <c r="CP30" s="353"/>
      <c r="CQ30" s="484">
        <v>0</v>
      </c>
      <c r="CR30" s="354">
        <v>0</v>
      </c>
      <c r="CS30" s="354">
        <v>0</v>
      </c>
      <c r="CT30" s="374">
        <v>0</v>
      </c>
    </row>
    <row r="31" spans="1:99" s="94" customFormat="1" ht="33" customHeight="1">
      <c r="A31" s="967" t="s">
        <v>45</v>
      </c>
      <c r="B31" s="968"/>
      <c r="C31" s="968"/>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968"/>
      <c r="AM31" s="968"/>
      <c r="AN31" s="968"/>
      <c r="AO31" s="968"/>
      <c r="AP31" s="968"/>
      <c r="AQ31" s="968"/>
      <c r="AR31" s="968"/>
      <c r="AS31" s="968"/>
      <c r="AT31" s="968"/>
      <c r="AU31" s="968"/>
      <c r="AV31" s="968"/>
      <c r="AW31" s="968"/>
      <c r="AX31" s="968"/>
      <c r="AY31" s="968"/>
      <c r="AZ31" s="968"/>
      <c r="BA31" s="968"/>
      <c r="BB31" s="968"/>
      <c r="BC31" s="968"/>
      <c r="BD31" s="968"/>
      <c r="BE31" s="968"/>
      <c r="BF31" s="968"/>
      <c r="BG31" s="968"/>
      <c r="BH31" s="968"/>
      <c r="BI31" s="968"/>
      <c r="BJ31" s="968"/>
      <c r="BK31" s="968"/>
      <c r="BL31" s="968"/>
      <c r="BM31" s="968"/>
      <c r="BN31" s="968"/>
      <c r="BO31" s="968"/>
      <c r="BP31" s="968"/>
      <c r="BQ31" s="968"/>
      <c r="BR31" s="968"/>
      <c r="BS31" s="968"/>
      <c r="BT31" s="968"/>
      <c r="BU31" s="968"/>
      <c r="BV31" s="968"/>
      <c r="BW31" s="968"/>
      <c r="BX31" s="968"/>
      <c r="BY31" s="968"/>
      <c r="BZ31" s="968"/>
      <c r="CA31" s="968"/>
      <c r="CB31" s="968"/>
      <c r="CC31" s="968"/>
      <c r="CD31" s="968"/>
      <c r="CE31" s="968"/>
      <c r="CF31" s="972" t="s">
        <v>125</v>
      </c>
      <c r="CG31" s="973"/>
      <c r="CH31" s="973"/>
      <c r="CI31" s="973"/>
      <c r="CJ31" s="973"/>
      <c r="CK31" s="973"/>
      <c r="CL31" s="973"/>
      <c r="CM31" s="974"/>
      <c r="CN31" s="353"/>
      <c r="CO31" s="353"/>
      <c r="CP31" s="353"/>
      <c r="CQ31" s="484">
        <v>0</v>
      </c>
      <c r="CR31" s="354">
        <v>0</v>
      </c>
      <c r="CS31" s="354">
        <v>0</v>
      </c>
      <c r="CT31" s="374">
        <v>0</v>
      </c>
    </row>
    <row r="32" spans="1:99" s="94" customFormat="1" ht="30.75" customHeight="1">
      <c r="A32" s="967" t="s">
        <v>45</v>
      </c>
      <c r="B32" s="968"/>
      <c r="C32" s="968"/>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968"/>
      <c r="AV32" s="968"/>
      <c r="AW32" s="968"/>
      <c r="AX32" s="968"/>
      <c r="AY32" s="968"/>
      <c r="AZ32" s="968"/>
      <c r="BA32" s="968"/>
      <c r="BB32" s="968"/>
      <c r="BC32" s="968"/>
      <c r="BD32" s="968"/>
      <c r="BE32" s="968"/>
      <c r="BF32" s="968"/>
      <c r="BG32" s="968"/>
      <c r="BH32" s="968"/>
      <c r="BI32" s="968"/>
      <c r="BJ32" s="968"/>
      <c r="BK32" s="968"/>
      <c r="BL32" s="968"/>
      <c r="BM32" s="968"/>
      <c r="BN32" s="968"/>
      <c r="BO32" s="968"/>
      <c r="BP32" s="968"/>
      <c r="BQ32" s="968"/>
      <c r="BR32" s="968"/>
      <c r="BS32" s="968"/>
      <c r="BT32" s="968"/>
      <c r="BU32" s="968"/>
      <c r="BV32" s="968"/>
      <c r="BW32" s="968"/>
      <c r="BX32" s="968"/>
      <c r="BY32" s="968"/>
      <c r="BZ32" s="968"/>
      <c r="CA32" s="968"/>
      <c r="CB32" s="968"/>
      <c r="CC32" s="968"/>
      <c r="CD32" s="968"/>
      <c r="CE32" s="968"/>
      <c r="CF32" s="972" t="s">
        <v>968</v>
      </c>
      <c r="CG32" s="973"/>
      <c r="CH32" s="973"/>
      <c r="CI32" s="973"/>
      <c r="CJ32" s="973"/>
      <c r="CK32" s="973"/>
      <c r="CL32" s="973"/>
      <c r="CM32" s="974"/>
      <c r="CN32" s="353"/>
      <c r="CO32" s="353"/>
      <c r="CP32" s="353"/>
      <c r="CQ32" s="484">
        <v>0</v>
      </c>
      <c r="CR32" s="354">
        <v>0</v>
      </c>
      <c r="CS32" s="354">
        <v>0</v>
      </c>
      <c r="CT32" s="374">
        <v>0</v>
      </c>
    </row>
    <row r="33" spans="1:100" customFormat="1" ht="30.75" customHeight="1" thickBot="1">
      <c r="A33" s="967" t="s">
        <v>969</v>
      </c>
      <c r="B33" s="968"/>
      <c r="C33" s="968"/>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968"/>
      <c r="AM33" s="968"/>
      <c r="AN33" s="968"/>
      <c r="AO33" s="968"/>
      <c r="AP33" s="968"/>
      <c r="AQ33" s="968"/>
      <c r="AR33" s="968"/>
      <c r="AS33" s="968"/>
      <c r="AT33" s="968"/>
      <c r="AU33" s="968"/>
      <c r="AV33" s="968"/>
      <c r="AW33" s="968"/>
      <c r="AX33" s="968"/>
      <c r="AY33" s="968"/>
      <c r="AZ33" s="968"/>
      <c r="BA33" s="968"/>
      <c r="BB33" s="968"/>
      <c r="BC33" s="968"/>
      <c r="BD33" s="968"/>
      <c r="BE33" s="968"/>
      <c r="BF33" s="968"/>
      <c r="BG33" s="968"/>
      <c r="BH33" s="968"/>
      <c r="BI33" s="968"/>
      <c r="BJ33" s="968"/>
      <c r="BK33" s="968"/>
      <c r="BL33" s="968"/>
      <c r="BM33" s="968"/>
      <c r="BN33" s="968"/>
      <c r="BO33" s="968"/>
      <c r="BP33" s="968"/>
      <c r="BQ33" s="968"/>
      <c r="BR33" s="968"/>
      <c r="BS33" s="968"/>
      <c r="BT33" s="968"/>
      <c r="BU33" s="968"/>
      <c r="BV33" s="968"/>
      <c r="BW33" s="968"/>
      <c r="BX33" s="968"/>
      <c r="BY33" s="968"/>
      <c r="BZ33" s="968"/>
      <c r="CA33" s="968"/>
      <c r="CB33" s="968"/>
      <c r="CC33" s="968"/>
      <c r="CD33" s="968"/>
      <c r="CE33" s="968"/>
      <c r="CF33" s="969" t="s">
        <v>97</v>
      </c>
      <c r="CG33" s="970"/>
      <c r="CH33" s="970"/>
      <c r="CI33" s="970"/>
      <c r="CJ33" s="970"/>
      <c r="CK33" s="970"/>
      <c r="CL33" s="970"/>
      <c r="CM33" s="971"/>
      <c r="CN33" s="353" t="s">
        <v>18</v>
      </c>
      <c r="CO33" s="353" t="s">
        <v>18</v>
      </c>
      <c r="CP33" s="353"/>
      <c r="CQ33" s="874">
        <f>3806085.6+791591.23</f>
        <v>4597676.83</v>
      </c>
      <c r="CR33" s="875">
        <v>4388085.5999999996</v>
      </c>
      <c r="CS33" s="875">
        <v>3978085.6</v>
      </c>
      <c r="CT33" s="374">
        <v>0</v>
      </c>
      <c r="CU33" s="85">
        <f>CQ33-'[2]ФХД_ Сведения по выплатам на з'!$CX$14</f>
        <v>-235871.8200000003</v>
      </c>
    </row>
    <row r="34" spans="1:100" customFormat="1" ht="68.25" customHeight="1">
      <c r="A34" s="979" t="s">
        <v>970</v>
      </c>
      <c r="B34" s="980"/>
      <c r="C34" s="980"/>
      <c r="D34" s="980"/>
      <c r="E34" s="980"/>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980"/>
      <c r="AR34" s="980"/>
      <c r="AS34" s="980"/>
      <c r="AT34" s="980"/>
      <c r="AU34" s="980"/>
      <c r="AV34" s="980"/>
      <c r="AW34" s="980"/>
      <c r="AX34" s="980"/>
      <c r="AY34" s="980"/>
      <c r="AZ34" s="980"/>
      <c r="BA34" s="980"/>
      <c r="BB34" s="980"/>
      <c r="BC34" s="980"/>
      <c r="BD34" s="980"/>
      <c r="BE34" s="980"/>
      <c r="BF34" s="980"/>
      <c r="BG34" s="980"/>
      <c r="BH34" s="980"/>
      <c r="BI34" s="980"/>
      <c r="BJ34" s="980"/>
      <c r="BK34" s="980"/>
      <c r="BL34" s="980"/>
      <c r="BM34" s="980"/>
      <c r="BN34" s="980"/>
      <c r="BO34" s="980"/>
      <c r="BP34" s="980"/>
      <c r="BQ34" s="980"/>
      <c r="BR34" s="980"/>
      <c r="BS34" s="980"/>
      <c r="BT34" s="980"/>
      <c r="BU34" s="980"/>
      <c r="BV34" s="980"/>
      <c r="BW34" s="980"/>
      <c r="BX34" s="980"/>
      <c r="BY34" s="980"/>
      <c r="BZ34" s="980"/>
      <c r="CA34" s="980"/>
      <c r="CB34" s="980"/>
      <c r="CC34" s="980"/>
      <c r="CD34" s="980"/>
      <c r="CE34" s="980"/>
      <c r="CF34" s="981" t="s">
        <v>98</v>
      </c>
      <c r="CG34" s="982"/>
      <c r="CH34" s="982"/>
      <c r="CI34" s="982"/>
      <c r="CJ34" s="982"/>
      <c r="CK34" s="982"/>
      <c r="CL34" s="982"/>
      <c r="CM34" s="983"/>
      <c r="CN34" s="355" t="s">
        <v>99</v>
      </c>
      <c r="CO34" s="355" t="s">
        <v>18</v>
      </c>
      <c r="CP34" s="355"/>
      <c r="CQ34" s="485">
        <v>0</v>
      </c>
      <c r="CR34" s="356">
        <v>0</v>
      </c>
      <c r="CS34" s="356">
        <v>0</v>
      </c>
      <c r="CT34" s="375">
        <v>0</v>
      </c>
    </row>
    <row r="35" spans="1:100" customFormat="1" ht="31.5" customHeight="1">
      <c r="A35" s="975" t="s">
        <v>101</v>
      </c>
      <c r="B35" s="976"/>
      <c r="C35" s="976"/>
      <c r="D35" s="976"/>
      <c r="E35" s="976"/>
      <c r="F35" s="976"/>
      <c r="G35" s="976"/>
      <c r="H35" s="976"/>
      <c r="I35" s="976"/>
      <c r="J35" s="976"/>
      <c r="K35" s="976"/>
      <c r="L35" s="976"/>
      <c r="M35" s="976"/>
      <c r="N35" s="976"/>
      <c r="O35" s="976"/>
      <c r="P35" s="976"/>
      <c r="Q35" s="976"/>
      <c r="R35" s="976"/>
      <c r="S35" s="976"/>
      <c r="T35" s="976"/>
      <c r="U35" s="976"/>
      <c r="V35" s="976"/>
      <c r="W35" s="976"/>
      <c r="X35" s="976"/>
      <c r="Y35" s="976"/>
      <c r="Z35" s="976"/>
      <c r="AA35" s="976"/>
      <c r="AB35" s="976"/>
      <c r="AC35" s="976"/>
      <c r="AD35" s="976"/>
      <c r="AE35" s="976"/>
      <c r="AF35" s="976"/>
      <c r="AG35" s="976"/>
      <c r="AH35" s="976"/>
      <c r="AI35" s="976"/>
      <c r="AJ35" s="976"/>
      <c r="AK35" s="976"/>
      <c r="AL35" s="976"/>
      <c r="AM35" s="976"/>
      <c r="AN35" s="976"/>
      <c r="AO35" s="976"/>
      <c r="AP35" s="976"/>
      <c r="AQ35" s="976"/>
      <c r="AR35" s="976"/>
      <c r="AS35" s="976"/>
      <c r="AT35" s="976"/>
      <c r="AU35" s="976"/>
      <c r="AV35" s="976"/>
      <c r="AW35" s="976"/>
      <c r="AX35" s="976"/>
      <c r="AY35" s="976"/>
      <c r="AZ35" s="976"/>
      <c r="BA35" s="976"/>
      <c r="BB35" s="976"/>
      <c r="BC35" s="976"/>
      <c r="BD35" s="976"/>
      <c r="BE35" s="976"/>
      <c r="BF35" s="976"/>
      <c r="BG35" s="976"/>
      <c r="BH35" s="976"/>
      <c r="BI35" s="976"/>
      <c r="BJ35" s="976"/>
      <c r="BK35" s="976"/>
      <c r="BL35" s="976"/>
      <c r="BM35" s="976"/>
      <c r="BN35" s="976"/>
      <c r="BO35" s="976"/>
      <c r="BP35" s="976"/>
      <c r="BQ35" s="976"/>
      <c r="BR35" s="976"/>
      <c r="BS35" s="976"/>
      <c r="BT35" s="976"/>
      <c r="BU35" s="976"/>
      <c r="BV35" s="976"/>
      <c r="BW35" s="976"/>
      <c r="BX35" s="976"/>
      <c r="BY35" s="976"/>
      <c r="BZ35" s="976"/>
      <c r="CA35" s="976"/>
      <c r="CB35" s="976"/>
      <c r="CC35" s="976"/>
      <c r="CD35" s="976"/>
      <c r="CE35" s="976"/>
      <c r="CF35" s="969" t="s">
        <v>102</v>
      </c>
      <c r="CG35" s="970"/>
      <c r="CH35" s="970"/>
      <c r="CI35" s="970"/>
      <c r="CJ35" s="970"/>
      <c r="CK35" s="970"/>
      <c r="CL35" s="970"/>
      <c r="CM35" s="971"/>
      <c r="CN35" s="353" t="s">
        <v>835</v>
      </c>
      <c r="CO35" s="353" t="s">
        <v>18</v>
      </c>
      <c r="CP35" s="353"/>
      <c r="CQ35" s="484">
        <v>0</v>
      </c>
      <c r="CR35" s="354">
        <v>0</v>
      </c>
      <c r="CS35" s="354">
        <v>0</v>
      </c>
      <c r="CT35" s="374">
        <v>0</v>
      </c>
    </row>
    <row r="36" spans="1:100" customFormat="1" ht="26.25" customHeight="1">
      <c r="A36" s="975" t="s">
        <v>101</v>
      </c>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6"/>
      <c r="AY36" s="976"/>
      <c r="AZ36" s="976"/>
      <c r="BA36" s="976"/>
      <c r="BB36" s="976"/>
      <c r="BC36" s="976"/>
      <c r="BD36" s="976"/>
      <c r="BE36" s="976"/>
      <c r="BF36" s="976"/>
      <c r="BG36" s="976"/>
      <c r="BH36" s="976"/>
      <c r="BI36" s="976"/>
      <c r="BJ36" s="976"/>
      <c r="BK36" s="976"/>
      <c r="BL36" s="976"/>
      <c r="BM36" s="976"/>
      <c r="BN36" s="976"/>
      <c r="BO36" s="976"/>
      <c r="BP36" s="976"/>
      <c r="BQ36" s="976"/>
      <c r="BR36" s="976"/>
      <c r="BS36" s="976"/>
      <c r="BT36" s="976"/>
      <c r="BU36" s="976"/>
      <c r="BV36" s="976"/>
      <c r="BW36" s="976"/>
      <c r="BX36" s="976"/>
      <c r="BY36" s="976"/>
      <c r="BZ36" s="976"/>
      <c r="CA36" s="976"/>
      <c r="CB36" s="976"/>
      <c r="CC36" s="976"/>
      <c r="CD36" s="976"/>
      <c r="CE36" s="976"/>
      <c r="CF36" s="969" t="s">
        <v>102</v>
      </c>
      <c r="CG36" s="970"/>
      <c r="CH36" s="970"/>
      <c r="CI36" s="970"/>
      <c r="CJ36" s="970"/>
      <c r="CK36" s="970"/>
      <c r="CL36" s="970"/>
      <c r="CM36" s="971"/>
      <c r="CN36" s="353" t="s">
        <v>869</v>
      </c>
      <c r="CO36" s="353" t="s">
        <v>18</v>
      </c>
      <c r="CP36" s="353"/>
      <c r="CQ36" s="484">
        <v>0</v>
      </c>
      <c r="CR36" s="354">
        <v>0</v>
      </c>
      <c r="CS36" s="354">
        <v>0</v>
      </c>
      <c r="CT36" s="374">
        <v>0</v>
      </c>
    </row>
    <row r="37" spans="1:100" customFormat="1" ht="31.5" customHeight="1" thickBot="1">
      <c r="A37" s="975" t="s">
        <v>101</v>
      </c>
      <c r="B37" s="976"/>
      <c r="C37" s="976"/>
      <c r="D37" s="976"/>
      <c r="E37" s="976"/>
      <c r="F37" s="976"/>
      <c r="G37" s="976"/>
      <c r="H37" s="976"/>
      <c r="I37" s="976"/>
      <c r="J37" s="976"/>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6"/>
      <c r="AL37" s="976"/>
      <c r="AM37" s="976"/>
      <c r="AN37" s="976"/>
      <c r="AO37" s="976"/>
      <c r="AP37" s="976"/>
      <c r="AQ37" s="976"/>
      <c r="AR37" s="976"/>
      <c r="AS37" s="976"/>
      <c r="AT37" s="976"/>
      <c r="AU37" s="976"/>
      <c r="AV37" s="976"/>
      <c r="AW37" s="976"/>
      <c r="AX37" s="976"/>
      <c r="AY37" s="976"/>
      <c r="AZ37" s="976"/>
      <c r="BA37" s="976"/>
      <c r="BB37" s="976"/>
      <c r="BC37" s="976"/>
      <c r="BD37" s="976"/>
      <c r="BE37" s="976"/>
      <c r="BF37" s="976"/>
      <c r="BG37" s="976"/>
      <c r="BH37" s="976"/>
      <c r="BI37" s="976"/>
      <c r="BJ37" s="976"/>
      <c r="BK37" s="976"/>
      <c r="BL37" s="976"/>
      <c r="BM37" s="976"/>
      <c r="BN37" s="976"/>
      <c r="BO37" s="976"/>
      <c r="BP37" s="976"/>
      <c r="BQ37" s="976"/>
      <c r="BR37" s="976"/>
      <c r="BS37" s="976"/>
      <c r="BT37" s="976"/>
      <c r="BU37" s="976"/>
      <c r="BV37" s="976"/>
      <c r="BW37" s="976"/>
      <c r="BX37" s="976"/>
      <c r="BY37" s="976"/>
      <c r="BZ37" s="976"/>
      <c r="CA37" s="976"/>
      <c r="CB37" s="976"/>
      <c r="CC37" s="976"/>
      <c r="CD37" s="976"/>
      <c r="CE37" s="976"/>
      <c r="CF37" s="969" t="s">
        <v>102</v>
      </c>
      <c r="CG37" s="970"/>
      <c r="CH37" s="970"/>
      <c r="CI37" s="970"/>
      <c r="CJ37" s="970"/>
      <c r="CK37" s="970"/>
      <c r="CL37" s="970"/>
      <c r="CM37" s="971"/>
      <c r="CN37" s="353" t="s">
        <v>984</v>
      </c>
      <c r="CO37" s="353" t="s">
        <v>18</v>
      </c>
      <c r="CP37" s="353"/>
      <c r="CQ37" s="484">
        <v>0</v>
      </c>
      <c r="CR37" s="354">
        <v>0</v>
      </c>
      <c r="CS37" s="354">
        <v>0</v>
      </c>
      <c r="CT37" s="374">
        <v>0</v>
      </c>
    </row>
    <row r="38" spans="1:100" ht="72.75" customHeight="1">
      <c r="A38" s="979" t="s">
        <v>971</v>
      </c>
      <c r="B38" s="980"/>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980"/>
      <c r="AI38" s="980"/>
      <c r="AJ38" s="980"/>
      <c r="AK38" s="980"/>
      <c r="AL38" s="980"/>
      <c r="AM38" s="980"/>
      <c r="AN38" s="980"/>
      <c r="AO38" s="980"/>
      <c r="AP38" s="980"/>
      <c r="AQ38" s="980"/>
      <c r="AR38" s="980"/>
      <c r="AS38" s="980"/>
      <c r="AT38" s="980"/>
      <c r="AU38" s="980"/>
      <c r="AV38" s="980"/>
      <c r="AW38" s="980"/>
      <c r="AX38" s="980"/>
      <c r="AY38" s="980"/>
      <c r="AZ38" s="980"/>
      <c r="BA38" s="980"/>
      <c r="BB38" s="980"/>
      <c r="BC38" s="980"/>
      <c r="BD38" s="980"/>
      <c r="BE38" s="980"/>
      <c r="BF38" s="980"/>
      <c r="BG38" s="980"/>
      <c r="BH38" s="980"/>
      <c r="BI38" s="980"/>
      <c r="BJ38" s="980"/>
      <c r="BK38" s="980"/>
      <c r="BL38" s="980"/>
      <c r="BM38" s="980"/>
      <c r="BN38" s="980"/>
      <c r="BO38" s="980"/>
      <c r="BP38" s="980"/>
      <c r="BQ38" s="980"/>
      <c r="BR38" s="980"/>
      <c r="BS38" s="980"/>
      <c r="BT38" s="980"/>
      <c r="BU38" s="980"/>
      <c r="BV38" s="980"/>
      <c r="BW38" s="980"/>
      <c r="BX38" s="980"/>
      <c r="BY38" s="980"/>
      <c r="BZ38" s="980"/>
      <c r="CA38" s="980"/>
      <c r="CB38" s="980"/>
      <c r="CC38" s="980"/>
      <c r="CD38" s="980"/>
      <c r="CE38" s="980"/>
      <c r="CF38" s="981" t="s">
        <v>103</v>
      </c>
      <c r="CG38" s="982"/>
      <c r="CH38" s="982"/>
      <c r="CI38" s="982"/>
      <c r="CJ38" s="982"/>
      <c r="CK38" s="982"/>
      <c r="CL38" s="982"/>
      <c r="CM38" s="983"/>
      <c r="CN38" s="355" t="s">
        <v>99</v>
      </c>
      <c r="CO38" s="355" t="s">
        <v>18</v>
      </c>
      <c r="CP38" s="355"/>
      <c r="CQ38" s="485">
        <f>CQ39</f>
        <v>29901922.539999999</v>
      </c>
      <c r="CR38" s="356">
        <f>CR40</f>
        <v>27151751.009999998</v>
      </c>
      <c r="CS38" s="356">
        <f>CS41</f>
        <v>25851783.710000001</v>
      </c>
      <c r="CT38" s="375">
        <v>0</v>
      </c>
    </row>
    <row r="39" spans="1:100" ht="31.5" customHeight="1">
      <c r="A39" s="984" t="s">
        <v>101</v>
      </c>
      <c r="B39" s="985"/>
      <c r="C39" s="985"/>
      <c r="D39" s="985"/>
      <c r="E39" s="985"/>
      <c r="F39" s="985"/>
      <c r="G39" s="985"/>
      <c r="H39" s="985"/>
      <c r="I39" s="985"/>
      <c r="J39" s="985"/>
      <c r="K39" s="985"/>
      <c r="L39" s="985"/>
      <c r="M39" s="985"/>
      <c r="N39" s="985"/>
      <c r="O39" s="985"/>
      <c r="P39" s="985"/>
      <c r="Q39" s="985"/>
      <c r="R39" s="985"/>
      <c r="S39" s="985"/>
      <c r="T39" s="985"/>
      <c r="U39" s="985"/>
      <c r="V39" s="985"/>
      <c r="W39" s="985"/>
      <c r="X39" s="985"/>
      <c r="Y39" s="985"/>
      <c r="Z39" s="985"/>
      <c r="AA39" s="985"/>
      <c r="AB39" s="985"/>
      <c r="AC39" s="985"/>
      <c r="AD39" s="985"/>
      <c r="AE39" s="985"/>
      <c r="AF39" s="985"/>
      <c r="AG39" s="985"/>
      <c r="AH39" s="985"/>
      <c r="AI39" s="985"/>
      <c r="AJ39" s="985"/>
      <c r="AK39" s="985"/>
      <c r="AL39" s="985"/>
      <c r="AM39" s="985"/>
      <c r="AN39" s="985"/>
      <c r="AO39" s="985"/>
      <c r="AP39" s="985"/>
      <c r="AQ39" s="985"/>
      <c r="AR39" s="985"/>
      <c r="AS39" s="985"/>
      <c r="AT39" s="985"/>
      <c r="AU39" s="985"/>
      <c r="AV39" s="985"/>
      <c r="AW39" s="985"/>
      <c r="AX39" s="985"/>
      <c r="AY39" s="985"/>
      <c r="AZ39" s="985"/>
      <c r="BA39" s="985"/>
      <c r="BB39" s="985"/>
      <c r="BC39" s="985"/>
      <c r="BD39" s="985"/>
      <c r="BE39" s="985"/>
      <c r="BF39" s="985"/>
      <c r="BG39" s="985"/>
      <c r="BH39" s="985"/>
      <c r="BI39" s="985"/>
      <c r="BJ39" s="985"/>
      <c r="BK39" s="985"/>
      <c r="BL39" s="985"/>
      <c r="BM39" s="985"/>
      <c r="BN39" s="985"/>
      <c r="BO39" s="985"/>
      <c r="BP39" s="985"/>
      <c r="BQ39" s="985"/>
      <c r="BR39" s="985"/>
      <c r="BS39" s="985"/>
      <c r="BT39" s="985"/>
      <c r="BU39" s="985"/>
      <c r="BV39" s="985"/>
      <c r="BW39" s="985"/>
      <c r="BX39" s="985"/>
      <c r="BY39" s="985"/>
      <c r="BZ39" s="985"/>
      <c r="CA39" s="985"/>
      <c r="CB39" s="985"/>
      <c r="CC39" s="985"/>
      <c r="CD39" s="985"/>
      <c r="CE39" s="985"/>
      <c r="CF39" s="986" t="s">
        <v>104</v>
      </c>
      <c r="CG39" s="987"/>
      <c r="CH39" s="987"/>
      <c r="CI39" s="987"/>
      <c r="CJ39" s="987"/>
      <c r="CK39" s="987"/>
      <c r="CL39" s="987"/>
      <c r="CM39" s="988"/>
      <c r="CN39" s="357" t="s">
        <v>835</v>
      </c>
      <c r="CO39" s="357" t="s">
        <v>18</v>
      </c>
      <c r="CP39" s="357"/>
      <c r="CQ39" s="486">
        <f>CQ15</f>
        <v>29901922.539999999</v>
      </c>
      <c r="CR39" s="358">
        <v>0</v>
      </c>
      <c r="CS39" s="358">
        <v>0</v>
      </c>
      <c r="CT39" s="376">
        <v>0</v>
      </c>
    </row>
    <row r="40" spans="1:100" ht="31.5" customHeight="1">
      <c r="A40" s="984" t="s">
        <v>101</v>
      </c>
      <c r="B40" s="985"/>
      <c r="C40" s="985"/>
      <c r="D40" s="985"/>
      <c r="E40" s="985"/>
      <c r="F40" s="985"/>
      <c r="G40" s="985"/>
      <c r="H40" s="985"/>
      <c r="I40" s="985"/>
      <c r="J40" s="985"/>
      <c r="K40" s="985"/>
      <c r="L40" s="985"/>
      <c r="M40" s="985"/>
      <c r="N40" s="985"/>
      <c r="O40" s="985"/>
      <c r="P40" s="985"/>
      <c r="Q40" s="985"/>
      <c r="R40" s="985"/>
      <c r="S40" s="985"/>
      <c r="T40" s="985"/>
      <c r="U40" s="985"/>
      <c r="V40" s="985"/>
      <c r="W40" s="985"/>
      <c r="X40" s="985"/>
      <c r="Y40" s="985"/>
      <c r="Z40" s="985"/>
      <c r="AA40" s="985"/>
      <c r="AB40" s="985"/>
      <c r="AC40" s="985"/>
      <c r="AD40" s="985"/>
      <c r="AE40" s="985"/>
      <c r="AF40" s="985"/>
      <c r="AG40" s="985"/>
      <c r="AH40" s="985"/>
      <c r="AI40" s="985"/>
      <c r="AJ40" s="985"/>
      <c r="AK40" s="985"/>
      <c r="AL40" s="985"/>
      <c r="AM40" s="985"/>
      <c r="AN40" s="985"/>
      <c r="AO40" s="985"/>
      <c r="AP40" s="985"/>
      <c r="AQ40" s="985"/>
      <c r="AR40" s="985"/>
      <c r="AS40" s="985"/>
      <c r="AT40" s="985"/>
      <c r="AU40" s="985"/>
      <c r="AV40" s="985"/>
      <c r="AW40" s="985"/>
      <c r="AX40" s="985"/>
      <c r="AY40" s="985"/>
      <c r="AZ40" s="985"/>
      <c r="BA40" s="985"/>
      <c r="BB40" s="985"/>
      <c r="BC40" s="985"/>
      <c r="BD40" s="985"/>
      <c r="BE40" s="985"/>
      <c r="BF40" s="985"/>
      <c r="BG40" s="985"/>
      <c r="BH40" s="985"/>
      <c r="BI40" s="985"/>
      <c r="BJ40" s="985"/>
      <c r="BK40" s="985"/>
      <c r="BL40" s="985"/>
      <c r="BM40" s="985"/>
      <c r="BN40" s="985"/>
      <c r="BO40" s="985"/>
      <c r="BP40" s="985"/>
      <c r="BQ40" s="985"/>
      <c r="BR40" s="985"/>
      <c r="BS40" s="985"/>
      <c r="BT40" s="985"/>
      <c r="BU40" s="985"/>
      <c r="BV40" s="985"/>
      <c r="BW40" s="985"/>
      <c r="BX40" s="985"/>
      <c r="BY40" s="985"/>
      <c r="BZ40" s="985"/>
      <c r="CA40" s="985"/>
      <c r="CB40" s="985"/>
      <c r="CC40" s="985"/>
      <c r="CD40" s="985"/>
      <c r="CE40" s="985"/>
      <c r="CF40" s="986" t="s">
        <v>104</v>
      </c>
      <c r="CG40" s="987"/>
      <c r="CH40" s="987"/>
      <c r="CI40" s="987"/>
      <c r="CJ40" s="987"/>
      <c r="CK40" s="987"/>
      <c r="CL40" s="987"/>
      <c r="CM40" s="988"/>
      <c r="CN40" s="357" t="s">
        <v>869</v>
      </c>
      <c r="CO40" s="357" t="s">
        <v>18</v>
      </c>
      <c r="CP40" s="357"/>
      <c r="CQ40" s="486">
        <v>0</v>
      </c>
      <c r="CR40" s="358">
        <f>CR15</f>
        <v>27151751.009999998</v>
      </c>
      <c r="CS40" s="358">
        <v>0</v>
      </c>
      <c r="CT40" s="376">
        <v>0</v>
      </c>
    </row>
    <row r="41" spans="1:100" ht="33" customHeight="1">
      <c r="A41" s="984" t="s">
        <v>101</v>
      </c>
      <c r="B41" s="985"/>
      <c r="C41" s="985"/>
      <c r="D41" s="985"/>
      <c r="E41" s="985"/>
      <c r="F41" s="985"/>
      <c r="G41" s="985"/>
      <c r="H41" s="985"/>
      <c r="I41" s="985"/>
      <c r="J41" s="985"/>
      <c r="K41" s="985"/>
      <c r="L41" s="985"/>
      <c r="M41" s="985"/>
      <c r="N41" s="985"/>
      <c r="O41" s="985"/>
      <c r="P41" s="985"/>
      <c r="Q41" s="985"/>
      <c r="R41" s="985"/>
      <c r="S41" s="985"/>
      <c r="T41" s="985"/>
      <c r="U41" s="985"/>
      <c r="V41" s="985"/>
      <c r="W41" s="985"/>
      <c r="X41" s="985"/>
      <c r="Y41" s="985"/>
      <c r="Z41" s="985"/>
      <c r="AA41" s="985"/>
      <c r="AB41" s="985"/>
      <c r="AC41" s="985"/>
      <c r="AD41" s="985"/>
      <c r="AE41" s="985"/>
      <c r="AF41" s="985"/>
      <c r="AG41" s="985"/>
      <c r="AH41" s="985"/>
      <c r="AI41" s="985"/>
      <c r="AJ41" s="985"/>
      <c r="AK41" s="985"/>
      <c r="AL41" s="985"/>
      <c r="AM41" s="985"/>
      <c r="AN41" s="985"/>
      <c r="AO41" s="985"/>
      <c r="AP41" s="985"/>
      <c r="AQ41" s="985"/>
      <c r="AR41" s="985"/>
      <c r="AS41" s="985"/>
      <c r="AT41" s="985"/>
      <c r="AU41" s="985"/>
      <c r="AV41" s="985"/>
      <c r="AW41" s="985"/>
      <c r="AX41" s="985"/>
      <c r="AY41" s="985"/>
      <c r="AZ41" s="985"/>
      <c r="BA41" s="985"/>
      <c r="BB41" s="985"/>
      <c r="BC41" s="985"/>
      <c r="BD41" s="985"/>
      <c r="BE41" s="985"/>
      <c r="BF41" s="985"/>
      <c r="BG41" s="985"/>
      <c r="BH41" s="985"/>
      <c r="BI41" s="985"/>
      <c r="BJ41" s="985"/>
      <c r="BK41" s="985"/>
      <c r="BL41" s="985"/>
      <c r="BM41" s="985"/>
      <c r="BN41" s="985"/>
      <c r="BO41" s="985"/>
      <c r="BP41" s="985"/>
      <c r="BQ41" s="985"/>
      <c r="BR41" s="985"/>
      <c r="BS41" s="985"/>
      <c r="BT41" s="985"/>
      <c r="BU41" s="985"/>
      <c r="BV41" s="985"/>
      <c r="BW41" s="985"/>
      <c r="BX41" s="985"/>
      <c r="BY41" s="985"/>
      <c r="BZ41" s="985"/>
      <c r="CA41" s="985"/>
      <c r="CB41" s="985"/>
      <c r="CC41" s="985"/>
      <c r="CD41" s="985"/>
      <c r="CE41" s="985"/>
      <c r="CF41" s="986" t="s">
        <v>104</v>
      </c>
      <c r="CG41" s="987"/>
      <c r="CH41" s="987"/>
      <c r="CI41" s="987"/>
      <c r="CJ41" s="987"/>
      <c r="CK41" s="987"/>
      <c r="CL41" s="987"/>
      <c r="CM41" s="988"/>
      <c r="CN41" s="357" t="s">
        <v>984</v>
      </c>
      <c r="CO41" s="357" t="s">
        <v>18</v>
      </c>
      <c r="CP41" s="357"/>
      <c r="CQ41" s="486">
        <v>0</v>
      </c>
      <c r="CR41" s="358">
        <v>0</v>
      </c>
      <c r="CS41" s="358">
        <f>CS15</f>
        <v>25851783.710000001</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989" t="s">
        <v>836</v>
      </c>
      <c r="AN43" s="989"/>
      <c r="AO43" s="989"/>
      <c r="AP43" s="989"/>
      <c r="AQ43" s="989"/>
      <c r="AR43" s="989"/>
      <c r="AS43" s="989"/>
      <c r="AT43" s="989"/>
      <c r="AU43" s="989"/>
      <c r="AV43" s="989"/>
      <c r="AW43" s="989"/>
      <c r="AX43" s="989"/>
      <c r="AY43" s="989"/>
      <c r="AZ43" s="989"/>
      <c r="BA43" s="989"/>
      <c r="BB43" s="989"/>
      <c r="BC43" s="989"/>
      <c r="BD43" s="989"/>
      <c r="BE43" s="121"/>
      <c r="BF43" s="121"/>
      <c r="BG43" s="957" t="s">
        <v>837</v>
      </c>
      <c r="BH43" s="957"/>
      <c r="BI43" s="957"/>
      <c r="BJ43" s="957"/>
      <c r="BK43" s="957"/>
      <c r="BL43" s="957"/>
      <c r="BM43" s="957"/>
      <c r="BN43" s="957"/>
      <c r="BO43" s="957"/>
      <c r="BP43" s="957"/>
      <c r="BQ43" s="957"/>
      <c r="BR43" s="957"/>
      <c r="BS43" s="957"/>
      <c r="BT43" s="957"/>
      <c r="BU43" s="957"/>
      <c r="BV43" s="957"/>
      <c r="BW43" s="957"/>
      <c r="BX43" s="957"/>
      <c r="BY43" s="121"/>
      <c r="BZ43" s="1024" t="s">
        <v>972</v>
      </c>
      <c r="CA43" s="1024"/>
      <c r="CB43" s="1024"/>
      <c r="CC43" s="1024"/>
      <c r="CD43" s="1024"/>
      <c r="CE43" s="1024"/>
      <c r="CF43" s="1024"/>
      <c r="CG43" s="1024"/>
      <c r="CH43" s="1024"/>
      <c r="CI43" s="1024"/>
      <c r="CJ43" s="1024"/>
      <c r="CK43" s="1024"/>
      <c r="CL43" s="1024"/>
      <c r="CM43" s="1024"/>
      <c r="CN43" s="1024"/>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960" t="s">
        <v>106</v>
      </c>
      <c r="AN44" s="960"/>
      <c r="AO44" s="960"/>
      <c r="AP44" s="960"/>
      <c r="AQ44" s="960"/>
      <c r="AR44" s="960"/>
      <c r="AS44" s="960"/>
      <c r="AT44" s="960"/>
      <c r="AU44" s="960"/>
      <c r="AV44" s="960"/>
      <c r="AW44" s="960"/>
      <c r="AX44" s="960"/>
      <c r="AY44" s="960"/>
      <c r="AZ44" s="960"/>
      <c r="BA44" s="960"/>
      <c r="BB44" s="960"/>
      <c r="BC44" s="960"/>
      <c r="BD44" s="960"/>
      <c r="BE44" s="121"/>
      <c r="BF44" s="121"/>
      <c r="BG44" s="960" t="s">
        <v>107</v>
      </c>
      <c r="BH44" s="960"/>
      <c r="BI44" s="960"/>
      <c r="BJ44" s="960"/>
      <c r="BK44" s="960"/>
      <c r="BL44" s="960"/>
      <c r="BM44" s="960"/>
      <c r="BN44" s="960"/>
      <c r="BO44" s="960"/>
      <c r="BP44" s="960"/>
      <c r="BQ44" s="960"/>
      <c r="BR44" s="960"/>
      <c r="BS44" s="960"/>
      <c r="BT44" s="960"/>
      <c r="BU44" s="960"/>
      <c r="BV44" s="960"/>
      <c r="BW44" s="960"/>
      <c r="BX44" s="960"/>
      <c r="BY44" s="121"/>
      <c r="BZ44" s="1025" t="s">
        <v>108</v>
      </c>
      <c r="CA44" s="1025"/>
      <c r="CB44" s="1025"/>
      <c r="CC44" s="1025"/>
      <c r="CD44" s="1025"/>
      <c r="CE44" s="1025"/>
      <c r="CF44" s="1025"/>
      <c r="CG44" s="1025"/>
      <c r="CH44" s="1025"/>
      <c r="CI44" s="1025"/>
      <c r="CJ44" s="1025"/>
      <c r="CK44" s="1025"/>
      <c r="CL44" s="1025"/>
      <c r="CM44" s="1025"/>
      <c r="CN44" s="1025"/>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963" t="s">
        <v>109</v>
      </c>
      <c r="J46" s="963"/>
      <c r="K46" s="964"/>
      <c r="L46" s="964"/>
      <c r="M46" s="964"/>
      <c r="N46" s="965" t="s">
        <v>109</v>
      </c>
      <c r="O46" s="965"/>
      <c r="P46" s="121"/>
      <c r="Q46" s="964"/>
      <c r="R46" s="964"/>
      <c r="S46" s="964"/>
      <c r="T46" s="964"/>
      <c r="U46" s="964"/>
      <c r="V46" s="964"/>
      <c r="W46" s="964"/>
      <c r="X46" s="964"/>
      <c r="Y46" s="964"/>
      <c r="Z46" s="964"/>
      <c r="AA46" s="964"/>
      <c r="AB46" s="964"/>
      <c r="AC46" s="964"/>
      <c r="AD46" s="964"/>
      <c r="AE46" s="964"/>
      <c r="AF46" s="851"/>
      <c r="AG46" s="977">
        <v>2026</v>
      </c>
      <c r="AH46" s="978"/>
      <c r="AI46" s="978"/>
      <c r="AJ46" s="978"/>
      <c r="AK46" s="978"/>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956" t="s">
        <v>973</v>
      </c>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957"/>
      <c r="AL50" s="957"/>
      <c r="AM50" s="957"/>
      <c r="AN50" s="957"/>
      <c r="AO50" s="957"/>
      <c r="AP50" s="957"/>
      <c r="AQ50" s="957"/>
      <c r="AR50" s="957"/>
      <c r="AS50" s="957"/>
      <c r="AT50" s="957"/>
      <c r="AU50" s="957"/>
      <c r="AV50" s="957"/>
      <c r="AW50" s="957"/>
      <c r="AX50" s="957"/>
      <c r="AY50" s="957"/>
      <c r="AZ50" s="957"/>
      <c r="BA50" s="957"/>
      <c r="BB50" s="957"/>
      <c r="BC50" s="957"/>
      <c r="BD50" s="957"/>
      <c r="BE50" s="957"/>
      <c r="BF50" s="957"/>
      <c r="BG50" s="957"/>
      <c r="BH50" s="957"/>
      <c r="BI50" s="957"/>
      <c r="BJ50" s="957"/>
      <c r="BK50" s="957"/>
      <c r="BL50" s="957"/>
      <c r="BM50" s="957"/>
      <c r="BN50" s="957"/>
      <c r="BO50" s="957"/>
      <c r="BP50" s="957"/>
      <c r="BQ50" s="957"/>
      <c r="BR50" s="957"/>
      <c r="BS50" s="957"/>
      <c r="BT50" s="957"/>
      <c r="BU50" s="957"/>
      <c r="BV50" s="957"/>
      <c r="BW50" s="957"/>
      <c r="BX50" s="957"/>
      <c r="BY50" s="957"/>
      <c r="BZ50" s="957"/>
      <c r="CA50" s="957"/>
      <c r="CB50" s="957"/>
      <c r="CC50" s="957"/>
      <c r="CD50" s="957"/>
      <c r="CE50" s="957"/>
      <c r="CF50" s="957"/>
      <c r="CG50" s="957"/>
      <c r="CH50" s="957"/>
      <c r="CI50" s="957"/>
      <c r="CJ50" s="957"/>
      <c r="CK50" s="957"/>
      <c r="CL50" s="957"/>
      <c r="CM50" s="958"/>
      <c r="CN50" s="121"/>
      <c r="CO50" s="121"/>
      <c r="CP50" s="121"/>
      <c r="CQ50" s="121"/>
      <c r="CR50" s="121"/>
      <c r="CS50" s="94"/>
      <c r="CT50" s="94"/>
      <c r="CU50" s="94"/>
      <c r="CV50" s="94"/>
    </row>
    <row r="51" spans="1:100" ht="24.75" customHeight="1">
      <c r="A51" s="959" t="s">
        <v>422</v>
      </c>
      <c r="B51" s="960"/>
      <c r="C51" s="960"/>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c r="AF51" s="960"/>
      <c r="AG51" s="960"/>
      <c r="AH51" s="960"/>
      <c r="AI51" s="960"/>
      <c r="AJ51" s="960"/>
      <c r="AK51" s="960"/>
      <c r="AL51" s="960"/>
      <c r="AM51" s="960"/>
      <c r="AN51" s="960"/>
      <c r="AO51" s="960"/>
      <c r="AP51" s="960"/>
      <c r="AQ51" s="960"/>
      <c r="AR51" s="960"/>
      <c r="AS51" s="960"/>
      <c r="AT51" s="960"/>
      <c r="AU51" s="960"/>
      <c r="AV51" s="960"/>
      <c r="AW51" s="960"/>
      <c r="AX51" s="960"/>
      <c r="AY51" s="960"/>
      <c r="AZ51" s="960"/>
      <c r="BA51" s="960"/>
      <c r="BB51" s="960"/>
      <c r="BC51" s="960"/>
      <c r="BD51" s="960"/>
      <c r="BE51" s="960"/>
      <c r="BF51" s="960"/>
      <c r="BG51" s="960"/>
      <c r="BH51" s="960"/>
      <c r="BI51" s="960"/>
      <c r="BJ51" s="960"/>
      <c r="BK51" s="960"/>
      <c r="BL51" s="960"/>
      <c r="BM51" s="960"/>
      <c r="BN51" s="960"/>
      <c r="BO51" s="960"/>
      <c r="BP51" s="960"/>
      <c r="BQ51" s="960"/>
      <c r="BR51" s="960"/>
      <c r="BS51" s="960"/>
      <c r="BT51" s="960"/>
      <c r="BU51" s="960"/>
      <c r="BV51" s="960"/>
      <c r="BW51" s="960"/>
      <c r="BX51" s="960"/>
      <c r="BY51" s="960"/>
      <c r="BZ51" s="960"/>
      <c r="CA51" s="960"/>
      <c r="CB51" s="960"/>
      <c r="CC51" s="960"/>
      <c r="CD51" s="960"/>
      <c r="CE51" s="960"/>
      <c r="CF51" s="960"/>
      <c r="CG51" s="960"/>
      <c r="CH51" s="960"/>
      <c r="CI51" s="960"/>
      <c r="CJ51" s="960"/>
      <c r="CK51" s="960"/>
      <c r="CL51" s="960"/>
      <c r="CM51" s="961"/>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956"/>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121"/>
      <c r="AA53" s="121"/>
      <c r="AB53" s="121"/>
      <c r="AC53" s="121"/>
      <c r="AD53" s="121"/>
      <c r="AE53" s="121"/>
      <c r="AF53" s="121"/>
      <c r="AG53" s="121"/>
      <c r="AH53" s="957" t="s">
        <v>872</v>
      </c>
      <c r="AI53" s="957"/>
      <c r="AJ53" s="957"/>
      <c r="AK53" s="957"/>
      <c r="AL53" s="957"/>
      <c r="AM53" s="957"/>
      <c r="AN53" s="957"/>
      <c r="AO53" s="957"/>
      <c r="AP53" s="957"/>
      <c r="AQ53" s="957"/>
      <c r="AR53" s="957"/>
      <c r="AS53" s="957"/>
      <c r="AT53" s="957"/>
      <c r="AU53" s="957"/>
      <c r="AV53" s="957"/>
      <c r="AW53" s="957"/>
      <c r="AX53" s="957"/>
      <c r="AY53" s="957"/>
      <c r="AZ53" s="957"/>
      <c r="BA53" s="957"/>
      <c r="BB53" s="957"/>
      <c r="BC53" s="957"/>
      <c r="BD53" s="957"/>
      <c r="BE53" s="957"/>
      <c r="BF53" s="957"/>
      <c r="BG53" s="957"/>
      <c r="BH53" s="957"/>
      <c r="BI53" s="957"/>
      <c r="BJ53" s="957"/>
      <c r="BK53" s="957"/>
      <c r="BL53" s="957"/>
      <c r="BM53" s="957"/>
      <c r="BN53" s="957"/>
      <c r="BO53" s="957"/>
      <c r="BP53" s="957"/>
      <c r="BQ53" s="957"/>
      <c r="BR53" s="957"/>
      <c r="BS53" s="957"/>
      <c r="BT53" s="957"/>
      <c r="BU53" s="957"/>
      <c r="BV53" s="957"/>
      <c r="BW53" s="957"/>
      <c r="BX53" s="957"/>
      <c r="BY53" s="957"/>
      <c r="BZ53" s="957"/>
      <c r="CA53" s="957"/>
      <c r="CB53" s="957"/>
      <c r="CC53" s="957"/>
      <c r="CD53" s="957"/>
      <c r="CE53" s="957"/>
      <c r="CF53" s="957"/>
      <c r="CG53" s="957"/>
      <c r="CH53" s="957"/>
      <c r="CI53" s="957"/>
      <c r="CJ53" s="957"/>
      <c r="CK53" s="957"/>
      <c r="CL53" s="957"/>
      <c r="CM53" s="958"/>
      <c r="CN53" s="121"/>
      <c r="CO53" s="121"/>
      <c r="CP53" s="121"/>
      <c r="CQ53" s="121"/>
      <c r="CR53" s="121"/>
      <c r="CS53" s="94"/>
      <c r="CT53" s="94"/>
      <c r="CU53" s="94"/>
      <c r="CV53" s="94"/>
    </row>
    <row r="54" spans="1:100" ht="18.75">
      <c r="A54" s="959" t="s">
        <v>112</v>
      </c>
      <c r="B54" s="960"/>
      <c r="C54" s="960"/>
      <c r="D54" s="960"/>
      <c r="E54" s="960"/>
      <c r="F54" s="960"/>
      <c r="G54" s="960"/>
      <c r="H54" s="960"/>
      <c r="I54" s="960"/>
      <c r="J54" s="960"/>
      <c r="K54" s="960"/>
      <c r="L54" s="960"/>
      <c r="M54" s="960"/>
      <c r="N54" s="960"/>
      <c r="O54" s="960"/>
      <c r="P54" s="960"/>
      <c r="Q54" s="960"/>
      <c r="R54" s="960"/>
      <c r="S54" s="960"/>
      <c r="T54" s="960"/>
      <c r="U54" s="960"/>
      <c r="V54" s="960"/>
      <c r="W54" s="960"/>
      <c r="X54" s="960"/>
      <c r="Y54" s="960"/>
      <c r="Z54" s="121"/>
      <c r="AA54" s="121"/>
      <c r="AB54" s="121"/>
      <c r="AC54" s="121"/>
      <c r="AD54" s="121"/>
      <c r="AE54" s="121"/>
      <c r="AF54" s="121"/>
      <c r="AG54" s="121"/>
      <c r="AH54" s="960" t="s">
        <v>74</v>
      </c>
      <c r="AI54" s="960"/>
      <c r="AJ54" s="960"/>
      <c r="AK54" s="960"/>
      <c r="AL54" s="960"/>
      <c r="AM54" s="960"/>
      <c r="AN54" s="960"/>
      <c r="AO54" s="960"/>
      <c r="AP54" s="960"/>
      <c r="AQ54" s="960"/>
      <c r="AR54" s="960"/>
      <c r="AS54" s="960"/>
      <c r="AT54" s="960"/>
      <c r="AU54" s="960"/>
      <c r="AV54" s="960"/>
      <c r="AW54" s="960"/>
      <c r="AX54" s="960"/>
      <c r="AY54" s="960"/>
      <c r="AZ54" s="960"/>
      <c r="BA54" s="960"/>
      <c r="BB54" s="960"/>
      <c r="BC54" s="960"/>
      <c r="BD54" s="960"/>
      <c r="BE54" s="960"/>
      <c r="BF54" s="960"/>
      <c r="BG54" s="960"/>
      <c r="BH54" s="960"/>
      <c r="BI54" s="960"/>
      <c r="BJ54" s="960"/>
      <c r="BK54" s="960"/>
      <c r="BL54" s="960"/>
      <c r="BM54" s="960"/>
      <c r="BN54" s="960"/>
      <c r="BO54" s="960"/>
      <c r="BP54" s="960"/>
      <c r="BQ54" s="960"/>
      <c r="BR54" s="960"/>
      <c r="BS54" s="960"/>
      <c r="BT54" s="960"/>
      <c r="BU54" s="960"/>
      <c r="BV54" s="960"/>
      <c r="BW54" s="960"/>
      <c r="BX54" s="960"/>
      <c r="BY54" s="960"/>
      <c r="BZ54" s="960"/>
      <c r="CA54" s="960"/>
      <c r="CB54" s="960"/>
      <c r="CC54" s="960"/>
      <c r="CD54" s="960"/>
      <c r="CE54" s="960"/>
      <c r="CF54" s="960"/>
      <c r="CG54" s="960"/>
      <c r="CH54" s="960"/>
      <c r="CI54" s="960"/>
      <c r="CJ54" s="960"/>
      <c r="CK54" s="960"/>
      <c r="CL54" s="960"/>
      <c r="CM54" s="961"/>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962" t="s">
        <v>109</v>
      </c>
      <c r="B56" s="963"/>
      <c r="C56" s="964"/>
      <c r="D56" s="964"/>
      <c r="E56" s="964"/>
      <c r="F56" s="965" t="s">
        <v>109</v>
      </c>
      <c r="G56" s="965"/>
      <c r="H56" s="121"/>
      <c r="I56" s="964"/>
      <c r="J56" s="964"/>
      <c r="K56" s="964"/>
      <c r="L56" s="964"/>
      <c r="M56" s="964"/>
      <c r="N56" s="964"/>
      <c r="O56" s="964"/>
      <c r="P56" s="964"/>
      <c r="Q56" s="964"/>
      <c r="R56" s="964"/>
      <c r="S56" s="964"/>
      <c r="T56" s="964"/>
      <c r="U56" s="964"/>
      <c r="V56" s="964"/>
      <c r="W56" s="964"/>
      <c r="X56" s="963">
        <v>20</v>
      </c>
      <c r="Y56" s="963"/>
      <c r="Z56" s="963"/>
      <c r="AA56" s="966" t="s">
        <v>987</v>
      </c>
      <c r="AB56" s="966"/>
      <c r="AC56" s="966"/>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40" t="s">
        <v>130</v>
      </c>
      <c r="B1" s="1040"/>
      <c r="C1" s="1040"/>
      <c r="D1" s="1040"/>
      <c r="E1" s="1040"/>
      <c r="F1" s="1040"/>
      <c r="G1" s="1040"/>
      <c r="H1" s="1040"/>
      <c r="I1" s="1040"/>
      <c r="J1" s="1040"/>
      <c r="K1" s="1040"/>
      <c r="L1" s="1040"/>
      <c r="M1" s="26"/>
      <c r="N1" s="26"/>
      <c r="O1" s="26"/>
    </row>
    <row r="2" spans="1:15" ht="17.25">
      <c r="A2" s="1040" t="s">
        <v>131</v>
      </c>
      <c r="B2" s="1040"/>
      <c r="C2" s="1040"/>
      <c r="D2" s="1040"/>
      <c r="E2" s="1040"/>
      <c r="F2" s="1040"/>
      <c r="G2" s="1040"/>
      <c r="H2" s="1040"/>
      <c r="I2" s="1040"/>
      <c r="J2" s="1040"/>
      <c r="K2" s="1040"/>
      <c r="L2" s="1040"/>
      <c r="M2" s="1040"/>
      <c r="N2" s="1040"/>
      <c r="O2" s="1040"/>
    </row>
    <row r="4" spans="1:15" ht="15.75">
      <c r="A4" s="27" t="s">
        <v>132</v>
      </c>
    </row>
    <row r="5" spans="1:15" ht="15.75">
      <c r="A5" s="1041" t="s">
        <v>133</v>
      </c>
      <c r="B5" s="1041"/>
      <c r="C5" s="1041"/>
      <c r="D5" s="1041"/>
      <c r="E5" s="1041"/>
      <c r="F5" s="1041"/>
      <c r="G5" s="1041"/>
      <c r="H5" s="1041"/>
      <c r="I5" s="1041"/>
      <c r="J5" s="1041"/>
      <c r="K5" s="1041"/>
      <c r="L5" s="1041"/>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38" t="s">
        <v>134</v>
      </c>
      <c r="B8" s="1038" t="s">
        <v>135</v>
      </c>
      <c r="C8" s="1038" t="s">
        <v>136</v>
      </c>
      <c r="D8" s="1030" t="s">
        <v>457</v>
      </c>
      <c r="E8" s="1030"/>
      <c r="F8" s="1030"/>
      <c r="G8" s="1030" t="s">
        <v>458</v>
      </c>
      <c r="H8" s="1030"/>
      <c r="I8" s="1030"/>
      <c r="J8" s="1030" t="s">
        <v>459</v>
      </c>
      <c r="K8" s="1030"/>
      <c r="L8" s="1030"/>
      <c r="M8" s="29"/>
      <c r="N8" s="29"/>
      <c r="O8" s="29"/>
    </row>
    <row r="9" spans="1:15" ht="63.75">
      <c r="A9" s="1038"/>
      <c r="B9" s="1038"/>
      <c r="C9" s="1038"/>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64387404.699999988</v>
      </c>
      <c r="G20" s="343" t="s">
        <v>18</v>
      </c>
      <c r="H20" s="343" t="s">
        <v>18</v>
      </c>
      <c r="I20" s="341">
        <f>SUM(I10:I19)</f>
        <v>51186502.950000003</v>
      </c>
      <c r="J20" s="343" t="s">
        <v>18</v>
      </c>
      <c r="K20" s="344" t="s">
        <v>18</v>
      </c>
      <c r="L20" s="342">
        <f>SUM(L10:L19)</f>
        <v>46349751.079999998</v>
      </c>
    </row>
    <row r="21" spans="1:15" ht="17.25">
      <c r="A21" s="32"/>
    </row>
    <row r="22" spans="1:15" ht="15.75">
      <c r="A22" s="1041" t="s">
        <v>149</v>
      </c>
      <c r="B22" s="1041"/>
      <c r="C22" s="1041"/>
      <c r="D22" s="1041"/>
      <c r="E22" s="1041"/>
      <c r="F22" s="1041"/>
      <c r="G22" s="1041"/>
      <c r="H22" s="1041"/>
      <c r="I22" s="1041"/>
      <c r="J22" s="1041"/>
      <c r="K22" s="1041"/>
      <c r="L22" s="1041"/>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38" t="s">
        <v>134</v>
      </c>
      <c r="B25" s="1038" t="s">
        <v>135</v>
      </c>
      <c r="C25" s="1038" t="s">
        <v>136</v>
      </c>
      <c r="D25" s="1042" t="s">
        <v>457</v>
      </c>
      <c r="E25" s="1043"/>
      <c r="F25" s="1044"/>
      <c r="G25" s="1042" t="s">
        <v>458</v>
      </c>
      <c r="H25" s="1043"/>
      <c r="I25" s="1044"/>
      <c r="J25" s="1042" t="s">
        <v>459</v>
      </c>
      <c r="K25" s="1043"/>
      <c r="L25" s="1044"/>
    </row>
    <row r="26" spans="1:15" ht="63.75">
      <c r="A26" s="1038"/>
      <c r="B26" s="1038"/>
      <c r="C26" s="1038"/>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45" t="s">
        <v>151</v>
      </c>
      <c r="B34" s="1045"/>
      <c r="C34" s="1045"/>
      <c r="D34" s="1045"/>
      <c r="E34" s="1045"/>
      <c r="F34" s="1045"/>
      <c r="G34" s="1045"/>
      <c r="H34" s="1045"/>
      <c r="I34" s="1045"/>
      <c r="J34" s="1045"/>
      <c r="K34" s="1045"/>
      <c r="L34" s="1045"/>
    </row>
    <row r="35" spans="1:15" ht="15.75" hidden="1">
      <c r="A35" s="1041" t="s">
        <v>133</v>
      </c>
      <c r="B35" s="1041"/>
      <c r="C35" s="1041"/>
      <c r="D35" s="1041"/>
      <c r="E35" s="1041"/>
      <c r="F35" s="1041"/>
      <c r="G35" s="1041"/>
      <c r="H35" s="1041"/>
      <c r="I35" s="1041"/>
      <c r="J35" s="1041"/>
      <c r="K35" s="1041"/>
      <c r="L35" s="1041"/>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30" t="s">
        <v>152</v>
      </c>
      <c r="C38" s="1030"/>
      <c r="D38" s="1030"/>
      <c r="E38" s="1030"/>
      <c r="F38" s="211" t="s">
        <v>136</v>
      </c>
      <c r="G38" s="1049" t="s">
        <v>463</v>
      </c>
      <c r="H38" s="1049"/>
      <c r="I38" s="1049" t="s">
        <v>464</v>
      </c>
      <c r="J38" s="1049"/>
      <c r="K38" s="1049" t="s">
        <v>465</v>
      </c>
      <c r="L38" s="1049"/>
    </row>
    <row r="39" spans="1:15" s="136" customFormat="1" ht="27.75" hidden="1" customHeight="1">
      <c r="A39" s="135" t="s">
        <v>143</v>
      </c>
      <c r="B39" s="1031" t="s">
        <v>436</v>
      </c>
      <c r="C39" s="1031"/>
      <c r="D39" s="1031"/>
      <c r="E39" s="1031"/>
      <c r="F39" s="138" t="s">
        <v>153</v>
      </c>
      <c r="G39" s="1029">
        <v>200936.22</v>
      </c>
      <c r="H39" s="1029"/>
      <c r="I39" s="1029">
        <v>81611.22</v>
      </c>
      <c r="J39" s="1029"/>
      <c r="K39" s="1029">
        <v>81611.22</v>
      </c>
      <c r="L39" s="1029"/>
    </row>
    <row r="40" spans="1:15" s="136" customFormat="1" ht="16.5" hidden="1" customHeight="1">
      <c r="A40" s="135" t="s">
        <v>9</v>
      </c>
      <c r="B40" s="1031" t="s">
        <v>437</v>
      </c>
      <c r="C40" s="1031"/>
      <c r="D40" s="1031"/>
      <c r="E40" s="1031"/>
      <c r="F40" s="138" t="s">
        <v>153</v>
      </c>
      <c r="G40" s="1047">
        <f>1196105.26</f>
        <v>1196105.26</v>
      </c>
      <c r="H40" s="1047"/>
      <c r="I40" s="1047">
        <v>0</v>
      </c>
      <c r="J40" s="1047"/>
      <c r="K40" s="1047">
        <v>0</v>
      </c>
      <c r="L40" s="1047"/>
      <c r="M40" s="139"/>
    </row>
    <row r="41" spans="1:15" hidden="1">
      <c r="A41" s="40"/>
      <c r="B41" s="1048" t="s">
        <v>148</v>
      </c>
      <c r="C41" s="1048"/>
      <c r="D41" s="1048"/>
      <c r="E41" s="1048"/>
      <c r="F41" s="41"/>
      <c r="G41" s="1047">
        <f>SUM(E39:G40)</f>
        <v>1397041.48</v>
      </c>
      <c r="H41" s="1047"/>
      <c r="I41" s="1047">
        <f>SUM(H39:I40)</f>
        <v>81611.22</v>
      </c>
      <c r="J41" s="1047"/>
      <c r="K41" s="1047">
        <f>SUM(K39:L40)</f>
        <v>81611.22</v>
      </c>
      <c r="L41" s="1047"/>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46" t="s">
        <v>404</v>
      </c>
      <c r="B44" s="1046"/>
      <c r="C44" s="1046"/>
      <c r="D44" s="1046"/>
      <c r="E44" s="1046"/>
      <c r="F44" s="1046"/>
      <c r="G44" s="1046"/>
      <c r="H44" s="1046"/>
      <c r="I44" s="1046"/>
      <c r="J44" s="1046"/>
      <c r="K44" s="1046"/>
      <c r="L44" s="1046"/>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35" t="s">
        <v>155</v>
      </c>
      <c r="C47" s="1035"/>
      <c r="D47" s="1035"/>
      <c r="E47" s="1035"/>
      <c r="F47" s="248" t="s">
        <v>156</v>
      </c>
      <c r="G47" s="1035" t="s">
        <v>461</v>
      </c>
      <c r="H47" s="1035"/>
      <c r="I47" s="1035" t="s">
        <v>460</v>
      </c>
      <c r="J47" s="1035"/>
      <c r="K47" s="1035" t="s">
        <v>462</v>
      </c>
      <c r="L47" s="1035"/>
    </row>
    <row r="48" spans="1:15" s="136" customFormat="1" ht="27.75" hidden="1" customHeight="1">
      <c r="A48" s="249" t="s">
        <v>143</v>
      </c>
      <c r="B48" s="1036" t="s">
        <v>157</v>
      </c>
      <c r="C48" s="1036"/>
      <c r="D48" s="1036"/>
      <c r="E48" s="1036"/>
      <c r="F48" s="250" t="s">
        <v>43</v>
      </c>
      <c r="G48" s="1037">
        <v>0</v>
      </c>
      <c r="H48" s="1037"/>
      <c r="I48" s="1037">
        <v>0</v>
      </c>
      <c r="J48" s="1037"/>
      <c r="K48" s="1035">
        <v>0</v>
      </c>
      <c r="L48" s="1035"/>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38" t="s">
        <v>155</v>
      </c>
      <c r="C53" s="1038"/>
      <c r="D53" s="1038"/>
      <c r="E53" s="1038"/>
      <c r="F53" s="210" t="s">
        <v>156</v>
      </c>
      <c r="G53" s="1032" t="s">
        <v>461</v>
      </c>
      <c r="H53" s="1033"/>
      <c r="I53" s="1032" t="s">
        <v>460</v>
      </c>
      <c r="J53" s="1033"/>
      <c r="K53" s="1032" t="s">
        <v>462</v>
      </c>
      <c r="L53" s="1033"/>
    </row>
    <row r="54" spans="1:12" ht="30.75" hidden="1" customHeight="1">
      <c r="A54" s="46" t="s">
        <v>143</v>
      </c>
      <c r="B54" s="1039" t="s">
        <v>158</v>
      </c>
      <c r="C54" s="1039"/>
      <c r="D54" s="1039"/>
      <c r="E54" s="1039"/>
      <c r="F54" s="46" t="s">
        <v>43</v>
      </c>
      <c r="G54" s="1034">
        <v>0</v>
      </c>
      <c r="H54" s="1034"/>
      <c r="I54" s="1034">
        <v>0</v>
      </c>
      <c r="J54" s="1034"/>
      <c r="K54" s="1034">
        <v>0</v>
      </c>
      <c r="L54" s="1034"/>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38" t="s">
        <v>155</v>
      </c>
      <c r="C58" s="1038"/>
      <c r="D58" s="1038"/>
      <c r="E58" s="1038"/>
      <c r="F58" s="210" t="s">
        <v>156</v>
      </c>
      <c r="G58" s="1032" t="s">
        <v>461</v>
      </c>
      <c r="H58" s="1033"/>
      <c r="I58" s="1032" t="s">
        <v>460</v>
      </c>
      <c r="J58" s="1033"/>
      <c r="K58" s="1032" t="s">
        <v>462</v>
      </c>
      <c r="L58" s="1033"/>
    </row>
    <row r="59" spans="1:12" ht="30" hidden="1" customHeight="1">
      <c r="A59" s="46" t="s">
        <v>143</v>
      </c>
      <c r="B59" s="1039" t="s">
        <v>158</v>
      </c>
      <c r="C59" s="1039"/>
      <c r="D59" s="1039"/>
      <c r="E59" s="1039"/>
      <c r="F59" s="46" t="s">
        <v>43</v>
      </c>
      <c r="G59" s="1034">
        <v>0</v>
      </c>
      <c r="H59" s="1034"/>
      <c r="I59" s="1034">
        <v>0</v>
      </c>
      <c r="J59" s="1034"/>
      <c r="K59" s="1034">
        <v>0</v>
      </c>
      <c r="L59" s="1034"/>
    </row>
    <row r="61" spans="1:12" ht="20.25">
      <c r="B61" s="5" t="s">
        <v>62</v>
      </c>
      <c r="G61" s="5" t="s">
        <v>63</v>
      </c>
    </row>
    <row r="64" spans="1:12">
      <c r="G64" s="206">
        <f>G41+F20</f>
        <v>65784446.179999985</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38" t="s">
        <v>113</v>
      </c>
      <c r="B6" s="1038" t="s">
        <v>168</v>
      </c>
      <c r="C6" s="1038" t="s">
        <v>513</v>
      </c>
      <c r="D6" s="1038"/>
      <c r="E6" s="1038"/>
      <c r="F6" s="1038"/>
      <c r="G6" s="1038" t="s">
        <v>514</v>
      </c>
      <c r="H6" s="1038"/>
      <c r="I6" s="1038"/>
      <c r="J6" s="1038"/>
      <c r="K6" s="1038" t="s">
        <v>515</v>
      </c>
      <c r="L6" s="1038"/>
      <c r="M6" s="1038"/>
      <c r="N6" s="1038"/>
    </row>
    <row r="7" spans="1:16" ht="79.5" customHeight="1">
      <c r="A7" s="1038"/>
      <c r="B7" s="1038"/>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38" t="s">
        <v>113</v>
      </c>
      <c r="B14" s="1038" t="s">
        <v>168</v>
      </c>
      <c r="C14" s="1038" t="s">
        <v>137</v>
      </c>
      <c r="D14" s="1038"/>
      <c r="E14" s="1038"/>
      <c r="F14" s="1038"/>
      <c r="G14" s="1038" t="s">
        <v>138</v>
      </c>
      <c r="H14" s="1038"/>
      <c r="I14" s="1038"/>
      <c r="J14" s="1038"/>
      <c r="K14" s="1038" t="s">
        <v>139</v>
      </c>
      <c r="L14" s="1038"/>
      <c r="M14" s="1038"/>
      <c r="N14" s="1038"/>
    </row>
    <row r="15" spans="1:16" ht="82.5" hidden="1" customHeight="1">
      <c r="A15" s="1038"/>
      <c r="B15" s="1038"/>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50" t="s">
        <v>113</v>
      </c>
      <c r="B32" s="1050" t="s">
        <v>168</v>
      </c>
      <c r="C32" s="1032" t="s">
        <v>188</v>
      </c>
      <c r="D32" s="1052"/>
      <c r="E32" s="1052"/>
      <c r="F32" s="1033"/>
      <c r="G32" s="1032" t="s">
        <v>189</v>
      </c>
      <c r="H32" s="1052"/>
      <c r="I32" s="1052"/>
      <c r="J32" s="1033"/>
      <c r="K32" s="1032" t="s">
        <v>190</v>
      </c>
      <c r="L32" s="1052"/>
      <c r="M32" s="1052"/>
      <c r="N32" s="1033"/>
    </row>
    <row r="33" spans="1:16" ht="63.75" hidden="1">
      <c r="A33" s="1051"/>
      <c r="B33" s="1051"/>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38" t="s">
        <v>113</v>
      </c>
      <c r="B42" s="1038" t="s">
        <v>168</v>
      </c>
      <c r="C42" s="1038" t="s">
        <v>513</v>
      </c>
      <c r="D42" s="1038"/>
      <c r="E42" s="1038"/>
      <c r="F42" s="1038"/>
      <c r="G42" s="1038" t="s">
        <v>514</v>
      </c>
      <c r="H42" s="1038"/>
      <c r="I42" s="1038"/>
      <c r="J42" s="1038"/>
      <c r="K42" s="1038" t="s">
        <v>515</v>
      </c>
      <c r="L42" s="1038"/>
      <c r="M42" s="1038"/>
      <c r="N42" s="1038"/>
    </row>
    <row r="43" spans="1:16" ht="85.5" customHeight="1">
      <c r="A43" s="1038"/>
      <c r="B43" s="1038"/>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297.80538302277432</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38" t="s">
        <v>113</v>
      </c>
      <c r="B53" s="1038" t="s">
        <v>168</v>
      </c>
      <c r="C53" s="1038" t="s">
        <v>513</v>
      </c>
      <c r="D53" s="1038"/>
      <c r="E53" s="1038"/>
      <c r="F53" s="1038" t="s">
        <v>514</v>
      </c>
      <c r="G53" s="1038"/>
      <c r="H53" s="1038"/>
      <c r="I53" s="1038" t="s">
        <v>515</v>
      </c>
      <c r="J53" s="1038"/>
      <c r="K53" s="1038"/>
    </row>
    <row r="54" spans="1:15" ht="82.5" customHeight="1">
      <c r="A54" s="1038"/>
      <c r="B54" s="1038"/>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53"/>
      <c r="B61" s="1053"/>
      <c r="C61" s="1053"/>
      <c r="D61" s="1053"/>
      <c r="E61" s="1053"/>
      <c r="F61" s="1053"/>
      <c r="G61" s="1053"/>
      <c r="H61" s="1053"/>
      <c r="I61" s="1053"/>
      <c r="J61" s="1053"/>
      <c r="K61" s="1053"/>
    </row>
    <row r="62" spans="1:15" ht="51" customHeight="1">
      <c r="A62" s="1053"/>
      <c r="B62" s="1053"/>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56" t="s">
        <v>113</v>
      </c>
      <c r="B6" s="1056" t="s">
        <v>205</v>
      </c>
      <c r="C6" s="1056" t="s">
        <v>457</v>
      </c>
      <c r="D6" s="1056"/>
      <c r="E6" s="1056"/>
      <c r="F6" s="1056"/>
      <c r="G6" s="1056" t="s">
        <v>458</v>
      </c>
      <c r="H6" s="1056"/>
      <c r="I6" s="1056"/>
      <c r="J6" s="1056"/>
      <c r="K6" s="1056" t="s">
        <v>459</v>
      </c>
      <c r="L6" s="1056"/>
      <c r="M6" s="1056"/>
      <c r="N6" s="1056"/>
    </row>
    <row r="7" spans="1:16" ht="18.75" customHeight="1">
      <c r="A7" s="1056"/>
      <c r="B7" s="1056"/>
      <c r="C7" s="1056" t="s">
        <v>206</v>
      </c>
      <c r="D7" s="1057" t="s">
        <v>207</v>
      </c>
      <c r="E7" s="1058"/>
      <c r="F7" s="1056" t="s">
        <v>202</v>
      </c>
      <c r="G7" s="1056" t="s">
        <v>206</v>
      </c>
      <c r="H7" s="1057" t="s">
        <v>207</v>
      </c>
      <c r="I7" s="1058"/>
      <c r="J7" s="1056" t="s">
        <v>202</v>
      </c>
      <c r="K7" s="1056" t="s">
        <v>206</v>
      </c>
      <c r="L7" s="1057" t="s">
        <v>207</v>
      </c>
      <c r="M7" s="1058"/>
      <c r="N7" s="1056" t="s">
        <v>202</v>
      </c>
    </row>
    <row r="8" spans="1:16">
      <c r="A8" s="1056"/>
      <c r="B8" s="1056"/>
      <c r="C8" s="1056"/>
      <c r="D8" s="1059"/>
      <c r="E8" s="1060"/>
      <c r="F8" s="1056"/>
      <c r="G8" s="1056"/>
      <c r="H8" s="1059"/>
      <c r="I8" s="1060"/>
      <c r="J8" s="1056"/>
      <c r="K8" s="1056"/>
      <c r="L8" s="1059"/>
      <c r="M8" s="1060"/>
      <c r="N8" s="1056"/>
    </row>
    <row r="9" spans="1:16" s="84" customFormat="1" ht="38.25">
      <c r="A9" s="399">
        <v>1</v>
      </c>
      <c r="B9" s="400" t="s">
        <v>208</v>
      </c>
      <c r="C9" s="401">
        <v>10000</v>
      </c>
      <c r="D9" s="1061">
        <v>0.30199999999999999</v>
      </c>
      <c r="E9" s="1062"/>
      <c r="F9" s="401">
        <f>C9*D9</f>
        <v>3020</v>
      </c>
      <c r="G9" s="401">
        <v>20000</v>
      </c>
      <c r="H9" s="1061">
        <v>0.30199999999999999</v>
      </c>
      <c r="I9" s="1062"/>
      <c r="J9" s="401">
        <f t="shared" ref="J9:J12" si="0">G9*H9</f>
        <v>6040</v>
      </c>
      <c r="K9" s="401">
        <v>0</v>
      </c>
      <c r="L9" s="1061">
        <v>0.30199999999999999</v>
      </c>
      <c r="M9" s="1062"/>
      <c r="N9" s="401">
        <f t="shared" ref="N9:N12" si="1">K9*L9</f>
        <v>0</v>
      </c>
    </row>
    <row r="10" spans="1:16" s="84" customFormat="1" ht="38.25">
      <c r="A10" s="399">
        <v>2</v>
      </c>
      <c r="B10" s="400" t="s">
        <v>209</v>
      </c>
      <c r="C10" s="401">
        <v>20000</v>
      </c>
      <c r="D10" s="1061">
        <v>0.30199999999999999</v>
      </c>
      <c r="E10" s="1062"/>
      <c r="F10" s="401">
        <f t="shared" ref="F10:F11" si="2">C10*D10</f>
        <v>6040</v>
      </c>
      <c r="G10" s="401">
        <v>20000</v>
      </c>
      <c r="H10" s="1061">
        <v>0.30199999999999999</v>
      </c>
      <c r="I10" s="1062"/>
      <c r="J10" s="401">
        <f t="shared" si="0"/>
        <v>6040</v>
      </c>
      <c r="K10" s="401">
        <v>20000</v>
      </c>
      <c r="L10" s="1061">
        <v>0.30199999999999999</v>
      </c>
      <c r="M10" s="1062"/>
      <c r="N10" s="401">
        <f t="shared" si="1"/>
        <v>6040</v>
      </c>
    </row>
    <row r="11" spans="1:16" s="84" customFormat="1" ht="38.25">
      <c r="A11" s="399">
        <v>2</v>
      </c>
      <c r="B11" s="402" t="s">
        <v>539</v>
      </c>
      <c r="C11" s="403">
        <v>5000</v>
      </c>
      <c r="D11" s="1063">
        <v>0.30199999999999999</v>
      </c>
      <c r="E11" s="1064"/>
      <c r="F11" s="403">
        <f t="shared" si="2"/>
        <v>1510</v>
      </c>
      <c r="G11" s="403">
        <v>5000</v>
      </c>
      <c r="H11" s="1063">
        <v>0.30199999999999999</v>
      </c>
      <c r="I11" s="1064"/>
      <c r="J11" s="401">
        <f t="shared" si="0"/>
        <v>1510</v>
      </c>
      <c r="K11" s="401">
        <v>5000</v>
      </c>
      <c r="L11" s="1061">
        <v>0.30199999999999999</v>
      </c>
      <c r="M11" s="1062"/>
      <c r="N11" s="401">
        <f t="shared" si="1"/>
        <v>1510</v>
      </c>
    </row>
    <row r="12" spans="1:16" s="84" customFormat="1" ht="38.25">
      <c r="A12" s="399">
        <v>3</v>
      </c>
      <c r="B12" s="402" t="s">
        <v>210</v>
      </c>
      <c r="C12" s="403">
        <v>314333.40999999997</v>
      </c>
      <c r="D12" s="1063">
        <v>0.30199999999999999</v>
      </c>
      <c r="E12" s="1064"/>
      <c r="F12" s="403">
        <f>C12*D12</f>
        <v>94928.689819999985</v>
      </c>
      <c r="G12" s="403">
        <v>16685.830000000002</v>
      </c>
      <c r="H12" s="1063">
        <v>0.30199999999999999</v>
      </c>
      <c r="I12" s="1064"/>
      <c r="J12" s="401">
        <f t="shared" si="0"/>
        <v>5039.1206600000005</v>
      </c>
      <c r="K12" s="401">
        <v>0</v>
      </c>
      <c r="L12" s="1061">
        <v>0.30199999999999999</v>
      </c>
      <c r="M12" s="1062"/>
      <c r="N12" s="401">
        <f t="shared" si="1"/>
        <v>0</v>
      </c>
      <c r="P12" s="220" t="s">
        <v>452</v>
      </c>
    </row>
    <row r="13" spans="1:16" s="84" customFormat="1">
      <c r="A13" s="400"/>
      <c r="B13" s="399" t="s">
        <v>178</v>
      </c>
      <c r="C13" s="399" t="s">
        <v>18</v>
      </c>
      <c r="D13" s="1065" t="s">
        <v>18</v>
      </c>
      <c r="E13" s="1066"/>
      <c r="F13" s="401">
        <f>SUM(F9:F12)</f>
        <v>105498.68981999999</v>
      </c>
      <c r="G13" s="399" t="s">
        <v>18</v>
      </c>
      <c r="H13" s="1065" t="s">
        <v>18</v>
      </c>
      <c r="I13" s="1066"/>
      <c r="J13" s="401">
        <f>SUM(J9:J12)</f>
        <v>18629.12066</v>
      </c>
      <c r="K13" s="399" t="s">
        <v>18</v>
      </c>
      <c r="L13" s="1065" t="s">
        <v>18</v>
      </c>
      <c r="M13" s="1066"/>
      <c r="N13" s="401">
        <f>SUM(N9:N12)</f>
        <v>7550</v>
      </c>
    </row>
    <row r="14" spans="1:16" s="84" customFormat="1"/>
    <row r="15" spans="1:16" s="86" customFormat="1">
      <c r="A15" s="87" t="s">
        <v>164</v>
      </c>
    </row>
    <row r="16" spans="1:16">
      <c r="A16" s="7" t="s">
        <v>165</v>
      </c>
    </row>
    <row r="17" spans="1:15" ht="25.5" customHeight="1">
      <c r="A17" s="1038" t="s">
        <v>113</v>
      </c>
      <c r="B17" s="1038" t="s">
        <v>205</v>
      </c>
      <c r="C17" s="1038" t="s">
        <v>198</v>
      </c>
      <c r="D17" s="1038"/>
      <c r="E17" s="1038"/>
      <c r="F17" s="1038"/>
      <c r="G17" s="1038" t="s">
        <v>199</v>
      </c>
      <c r="H17" s="1038"/>
      <c r="I17" s="1038"/>
      <c r="J17" s="1038"/>
      <c r="K17" s="1038" t="s">
        <v>200</v>
      </c>
      <c r="L17" s="1038"/>
      <c r="M17" s="1038"/>
      <c r="N17" s="1038"/>
    </row>
    <row r="18" spans="1:15" ht="25.5" customHeight="1">
      <c r="A18" s="1038"/>
      <c r="B18" s="1038"/>
      <c r="C18" s="1038" t="s">
        <v>206</v>
      </c>
      <c r="D18" s="1038" t="s">
        <v>207</v>
      </c>
      <c r="E18" s="30"/>
      <c r="F18" s="1038" t="s">
        <v>202</v>
      </c>
      <c r="G18" s="1038" t="s">
        <v>206</v>
      </c>
      <c r="H18" s="1038" t="s">
        <v>207</v>
      </c>
      <c r="I18" s="30"/>
      <c r="J18" s="1038" t="s">
        <v>202</v>
      </c>
      <c r="K18" s="1038" t="s">
        <v>206</v>
      </c>
      <c r="L18" s="1038" t="s">
        <v>207</v>
      </c>
      <c r="M18" s="30"/>
      <c r="N18" s="1038" t="s">
        <v>202</v>
      </c>
    </row>
    <row r="19" spans="1:15">
      <c r="A19" s="1038"/>
      <c r="B19" s="1038"/>
      <c r="C19" s="1038"/>
      <c r="D19" s="1038"/>
      <c r="E19" s="30"/>
      <c r="F19" s="1038"/>
      <c r="G19" s="1038"/>
      <c r="H19" s="1038"/>
      <c r="I19" s="30"/>
      <c r="J19" s="1038"/>
      <c r="K19" s="1038"/>
      <c r="L19" s="1038"/>
      <c r="M19" s="30"/>
      <c r="N19" s="1038"/>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38" t="s">
        <v>113</v>
      </c>
      <c r="B27" s="1038" t="s">
        <v>168</v>
      </c>
      <c r="C27" s="1038" t="s">
        <v>198</v>
      </c>
      <c r="D27" s="1038"/>
      <c r="E27" s="1038"/>
      <c r="F27" s="1038"/>
      <c r="G27" s="1038"/>
      <c r="H27" s="1038" t="s">
        <v>199</v>
      </c>
      <c r="I27" s="1038"/>
      <c r="J27" s="1038"/>
      <c r="K27" s="1038"/>
      <c r="L27" s="1038"/>
      <c r="M27" s="30"/>
      <c r="N27" s="1038" t="s">
        <v>200</v>
      </c>
      <c r="O27" s="1038"/>
    </row>
    <row r="28" spans="1:15" ht="76.5">
      <c r="A28" s="1038"/>
      <c r="B28" s="1038"/>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67" t="s">
        <v>113</v>
      </c>
      <c r="B37" s="1067" t="s">
        <v>168</v>
      </c>
      <c r="C37" s="1067" t="s">
        <v>457</v>
      </c>
      <c r="D37" s="1067"/>
      <c r="E37" s="1067"/>
      <c r="F37" s="1067"/>
      <c r="G37" s="1067" t="s">
        <v>458</v>
      </c>
      <c r="H37" s="1067"/>
      <c r="I37" s="1067"/>
      <c r="J37" s="1067"/>
      <c r="K37" s="1067" t="s">
        <v>459</v>
      </c>
      <c r="L37" s="1067"/>
      <c r="M37" s="1067"/>
      <c r="N37" s="1067"/>
      <c r="O37" s="457"/>
    </row>
    <row r="38" spans="1:16380" s="383" customFormat="1" ht="65.25" customHeight="1">
      <c r="A38" s="1067"/>
      <c r="B38" s="1067"/>
      <c r="C38" s="477" t="s">
        <v>215</v>
      </c>
      <c r="D38" s="1068" t="s">
        <v>216</v>
      </c>
      <c r="E38" s="1069"/>
      <c r="F38" s="477" t="s">
        <v>217</v>
      </c>
      <c r="G38" s="477" t="s">
        <v>215</v>
      </c>
      <c r="H38" s="1068" t="s">
        <v>216</v>
      </c>
      <c r="I38" s="1069"/>
      <c r="J38" s="477" t="s">
        <v>217</v>
      </c>
      <c r="K38" s="477" t="s">
        <v>215</v>
      </c>
      <c r="L38" s="1068" t="s">
        <v>216</v>
      </c>
      <c r="M38" s="1069"/>
      <c r="N38" s="477" t="s">
        <v>217</v>
      </c>
      <c r="O38" s="457"/>
      <c r="P38" s="383" t="s">
        <v>218</v>
      </c>
    </row>
    <row r="39" spans="1:16380" s="383" customFormat="1" ht="25.5" hidden="1">
      <c r="A39" s="489">
        <v>1</v>
      </c>
      <c r="B39" s="478" t="s">
        <v>219</v>
      </c>
      <c r="C39" s="61">
        <f>F39/D39</f>
        <v>0</v>
      </c>
      <c r="D39" s="1054">
        <v>2.1999999999999999E-2</v>
      </c>
      <c r="E39" s="1055"/>
      <c r="F39" s="61">
        <v>0</v>
      </c>
      <c r="G39" s="61">
        <v>0</v>
      </c>
      <c r="H39" s="1054">
        <v>2.1999999999999999E-2</v>
      </c>
      <c r="I39" s="1055"/>
      <c r="J39" s="61">
        <v>0</v>
      </c>
      <c r="K39" s="61">
        <v>0</v>
      </c>
      <c r="L39" s="1054">
        <v>2.1999999999999999E-2</v>
      </c>
      <c r="M39" s="1055"/>
      <c r="N39" s="61">
        <v>0</v>
      </c>
      <c r="O39" s="457"/>
    </row>
    <row r="40" spans="1:16380" s="383" customFormat="1" ht="25.5">
      <c r="A40" s="477">
        <v>1</v>
      </c>
      <c r="B40" s="478" t="s">
        <v>220</v>
      </c>
      <c r="C40" s="61">
        <v>0</v>
      </c>
      <c r="D40" s="1054">
        <v>5.0000000000000001E-3</v>
      </c>
      <c r="E40" s="1055"/>
      <c r="F40" s="61">
        <f>ROUND(C40*D40,0)</f>
        <v>0</v>
      </c>
      <c r="G40" s="61">
        <v>0</v>
      </c>
      <c r="H40" s="1054">
        <v>5.0000000000000001E-3</v>
      </c>
      <c r="I40" s="1055"/>
      <c r="J40" s="61">
        <f>ROUND(G40*H40,0)</f>
        <v>0</v>
      </c>
      <c r="K40" s="61">
        <v>0</v>
      </c>
      <c r="L40" s="1054">
        <v>5.0000000000000001E-3</v>
      </c>
      <c r="M40" s="1055"/>
      <c r="N40" s="61">
        <f>ROUND(K40*L40,0)</f>
        <v>0</v>
      </c>
      <c r="O40" s="457"/>
      <c r="P40" s="383" t="s">
        <v>218</v>
      </c>
    </row>
    <row r="41" spans="1:16380" s="383" customFormat="1" ht="25.5">
      <c r="A41" s="477">
        <v>3</v>
      </c>
      <c r="B41" s="478" t="s">
        <v>221</v>
      </c>
      <c r="C41" s="61" t="s">
        <v>18</v>
      </c>
      <c r="D41" s="1054" t="s">
        <v>18</v>
      </c>
      <c r="E41" s="1055"/>
      <c r="F41" s="61">
        <v>0</v>
      </c>
      <c r="G41" s="61" t="s">
        <v>18</v>
      </c>
      <c r="H41" s="1054" t="s">
        <v>18</v>
      </c>
      <c r="I41" s="1055"/>
      <c r="J41" s="490">
        <v>0</v>
      </c>
      <c r="K41" s="61" t="s">
        <v>18</v>
      </c>
      <c r="L41" s="1054" t="s">
        <v>18</v>
      </c>
      <c r="M41" s="1055"/>
      <c r="N41" s="490">
        <v>0</v>
      </c>
      <c r="O41" s="457"/>
    </row>
    <row r="42" spans="1:16380" s="383" customFormat="1" ht="38.25">
      <c r="A42" s="477">
        <v>1</v>
      </c>
      <c r="B42" s="478" t="s">
        <v>468</v>
      </c>
      <c r="C42" s="61">
        <v>33377286.77</v>
      </c>
      <c r="D42" s="1070">
        <v>1.5E-3</v>
      </c>
      <c r="E42" s="1071"/>
      <c r="F42" s="61">
        <v>50065.93</v>
      </c>
      <c r="G42" s="61">
        <v>24782092.879999999</v>
      </c>
      <c r="H42" s="1070">
        <v>1.5E-3</v>
      </c>
      <c r="I42" s="1071"/>
      <c r="J42" s="61">
        <v>37173.14</v>
      </c>
      <c r="K42" s="61">
        <v>31978747.210000001</v>
      </c>
      <c r="L42" s="1070">
        <v>1.5E-3</v>
      </c>
      <c r="M42" s="1071"/>
      <c r="N42" s="61">
        <v>40682.78</v>
      </c>
      <c r="O42" s="457"/>
    </row>
    <row r="43" spans="1:16380" s="383" customFormat="1" ht="51">
      <c r="A43" s="477">
        <v>3</v>
      </c>
      <c r="B43" s="478" t="s">
        <v>469</v>
      </c>
      <c r="C43" s="61" t="s">
        <v>18</v>
      </c>
      <c r="D43" s="1070" t="s">
        <v>18</v>
      </c>
      <c r="E43" s="1071"/>
      <c r="F43" s="61">
        <v>800</v>
      </c>
      <c r="G43" s="61" t="s">
        <v>18</v>
      </c>
      <c r="H43" s="1070" t="s">
        <v>18</v>
      </c>
      <c r="I43" s="1071"/>
      <c r="J43" s="61">
        <v>0</v>
      </c>
      <c r="K43" s="61" t="s">
        <v>18</v>
      </c>
      <c r="L43" s="1070" t="s">
        <v>18</v>
      </c>
      <c r="M43" s="1071"/>
      <c r="N43" s="61">
        <v>0</v>
      </c>
      <c r="O43" s="457"/>
    </row>
    <row r="44" spans="1:16380" s="383" customFormat="1">
      <c r="A44" s="477"/>
      <c r="B44" s="477" t="s">
        <v>178</v>
      </c>
      <c r="C44" s="61" t="s">
        <v>18</v>
      </c>
      <c r="D44" s="1054" t="s">
        <v>18</v>
      </c>
      <c r="E44" s="1055"/>
      <c r="F44" s="61">
        <f>SUM(F39:F43)</f>
        <v>50865.93</v>
      </c>
      <c r="G44" s="61" t="s">
        <v>18</v>
      </c>
      <c r="H44" s="1054" t="s">
        <v>18</v>
      </c>
      <c r="I44" s="1055"/>
      <c r="J44" s="61">
        <f>J42</f>
        <v>37173.14</v>
      </c>
      <c r="K44" s="61" t="s">
        <v>18</v>
      </c>
      <c r="L44" s="1054" t="s">
        <v>18</v>
      </c>
      <c r="M44" s="1055"/>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67" t="s">
        <v>113</v>
      </c>
      <c r="B50" s="1067" t="s">
        <v>168</v>
      </c>
      <c r="C50" s="1067" t="s">
        <v>457</v>
      </c>
      <c r="D50" s="1067"/>
      <c r="E50" s="1067"/>
      <c r="F50" s="1067"/>
      <c r="G50" s="1067" t="s">
        <v>458</v>
      </c>
      <c r="H50" s="1067"/>
      <c r="I50" s="1067"/>
      <c r="J50" s="1067"/>
      <c r="K50" s="1067" t="s">
        <v>459</v>
      </c>
      <c r="L50" s="1067"/>
      <c r="M50" s="1067"/>
      <c r="N50" s="1067"/>
      <c r="O50" s="457"/>
    </row>
    <row r="51" spans="1:15" s="383" customFormat="1" ht="63.75">
      <c r="A51" s="1067"/>
      <c r="B51" s="1067"/>
      <c r="C51" s="477" t="s">
        <v>215</v>
      </c>
      <c r="D51" s="1068" t="s">
        <v>216</v>
      </c>
      <c r="E51" s="1069"/>
      <c r="F51" s="477" t="s">
        <v>217</v>
      </c>
      <c r="G51" s="477" t="s">
        <v>215</v>
      </c>
      <c r="H51" s="1068" t="s">
        <v>216</v>
      </c>
      <c r="I51" s="1069"/>
      <c r="J51" s="477" t="s">
        <v>217</v>
      </c>
      <c r="K51" s="477" t="s">
        <v>215</v>
      </c>
      <c r="L51" s="1068" t="s">
        <v>216</v>
      </c>
      <c r="M51" s="1069"/>
      <c r="N51" s="477" t="s">
        <v>217</v>
      </c>
      <c r="O51" s="457"/>
    </row>
    <row r="52" spans="1:15" s="383" customFormat="1" ht="38.25">
      <c r="A52" s="477">
        <v>1</v>
      </c>
      <c r="B52" s="478" t="s">
        <v>749</v>
      </c>
      <c r="C52" s="61">
        <v>4526126.91</v>
      </c>
      <c r="D52" s="1070">
        <v>1.5E-3</v>
      </c>
      <c r="E52" s="1071"/>
      <c r="F52" s="61">
        <v>6460.4</v>
      </c>
      <c r="G52" s="61">
        <v>4892473.47</v>
      </c>
      <c r="H52" s="1070">
        <v>1.5E-3</v>
      </c>
      <c r="I52" s="1071"/>
      <c r="J52" s="61">
        <v>6460.4</v>
      </c>
      <c r="K52" s="61">
        <v>4856891.72</v>
      </c>
      <c r="L52" s="1070">
        <v>1.5E-3</v>
      </c>
      <c r="M52" s="1071"/>
      <c r="N52" s="61">
        <v>6460.4</v>
      </c>
      <c r="O52" s="457"/>
    </row>
    <row r="53" spans="1:15" s="383" customFormat="1" ht="25.5">
      <c r="A53" s="477">
        <v>2</v>
      </c>
      <c r="B53" s="478" t="s">
        <v>221</v>
      </c>
      <c r="C53" s="61" t="s">
        <v>18</v>
      </c>
      <c r="D53" s="1054" t="s">
        <v>18</v>
      </c>
      <c r="E53" s="1055"/>
      <c r="F53" s="61">
        <v>0</v>
      </c>
      <c r="G53" s="61" t="s">
        <v>18</v>
      </c>
      <c r="H53" s="1054" t="s">
        <v>18</v>
      </c>
      <c r="I53" s="1055"/>
      <c r="J53" s="490">
        <v>0</v>
      </c>
      <c r="K53" s="61" t="s">
        <v>18</v>
      </c>
      <c r="L53" s="1054" t="s">
        <v>18</v>
      </c>
      <c r="M53" s="1055"/>
      <c r="N53" s="490">
        <v>0</v>
      </c>
      <c r="O53" s="457"/>
    </row>
    <row r="54" spans="1:15" s="383" customFormat="1" ht="38.25">
      <c r="A54" s="477">
        <v>3</v>
      </c>
      <c r="B54" s="478" t="s">
        <v>408</v>
      </c>
      <c r="C54" s="61" t="s">
        <v>18</v>
      </c>
      <c r="D54" s="1054" t="s">
        <v>18</v>
      </c>
      <c r="E54" s="1055"/>
      <c r="F54" s="61">
        <v>0</v>
      </c>
      <c r="G54" s="61" t="s">
        <v>18</v>
      </c>
      <c r="H54" s="1054" t="s">
        <v>18</v>
      </c>
      <c r="I54" s="1055"/>
      <c r="J54" s="490">
        <v>0</v>
      </c>
      <c r="K54" s="61" t="s">
        <v>18</v>
      </c>
      <c r="L54" s="1054" t="s">
        <v>18</v>
      </c>
      <c r="M54" s="1055"/>
      <c r="N54" s="490">
        <v>0</v>
      </c>
      <c r="O54" s="457"/>
    </row>
    <row r="55" spans="1:15" s="383" customFormat="1" ht="38.25">
      <c r="A55" s="477">
        <v>4</v>
      </c>
      <c r="B55" s="478" t="s">
        <v>433</v>
      </c>
      <c r="C55" s="61" t="s">
        <v>18</v>
      </c>
      <c r="D55" s="1054" t="s">
        <v>18</v>
      </c>
      <c r="E55" s="1055"/>
      <c r="F55" s="61">
        <v>0</v>
      </c>
      <c r="G55" s="61" t="s">
        <v>18</v>
      </c>
      <c r="H55" s="1054" t="s">
        <v>18</v>
      </c>
      <c r="I55" s="1055"/>
      <c r="J55" s="490">
        <v>0</v>
      </c>
      <c r="K55" s="61" t="s">
        <v>18</v>
      </c>
      <c r="L55" s="1054" t="s">
        <v>18</v>
      </c>
      <c r="M55" s="1055"/>
      <c r="N55" s="490">
        <v>0</v>
      </c>
      <c r="O55" s="457"/>
    </row>
    <row r="56" spans="1:15" s="383" customFormat="1" hidden="1">
      <c r="A56" s="477"/>
      <c r="B56" s="478"/>
      <c r="C56" s="61"/>
      <c r="D56" s="1054"/>
      <c r="E56" s="1055"/>
      <c r="F56" s="61"/>
      <c r="G56" s="61"/>
      <c r="H56" s="1054"/>
      <c r="I56" s="1055"/>
      <c r="J56" s="490"/>
      <c r="K56" s="61"/>
      <c r="L56" s="1054"/>
      <c r="M56" s="1055"/>
      <c r="N56" s="490"/>
      <c r="O56" s="457"/>
    </row>
    <row r="57" spans="1:15" s="383" customFormat="1">
      <c r="A57" s="477"/>
      <c r="B57" s="477" t="s">
        <v>178</v>
      </c>
      <c r="C57" s="61" t="s">
        <v>18</v>
      </c>
      <c r="D57" s="1054" t="s">
        <v>18</v>
      </c>
      <c r="E57" s="1055"/>
      <c r="F57" s="61">
        <f>SUM(F52:F56)</f>
        <v>6460.4</v>
      </c>
      <c r="G57" s="61" t="s">
        <v>18</v>
      </c>
      <c r="H57" s="1054" t="s">
        <v>18</v>
      </c>
      <c r="I57" s="1055"/>
      <c r="J57" s="61">
        <f>SUM(J52:J55)</f>
        <v>6460.4</v>
      </c>
      <c r="K57" s="61" t="s">
        <v>18</v>
      </c>
      <c r="L57" s="1054" t="s">
        <v>18</v>
      </c>
      <c r="M57" s="1055"/>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67" t="s">
        <v>113</v>
      </c>
      <c r="B62" s="1067" t="s">
        <v>168</v>
      </c>
      <c r="C62" s="1067" t="s">
        <v>198</v>
      </c>
      <c r="D62" s="1067"/>
      <c r="E62" s="477"/>
      <c r="F62" s="1067" t="s">
        <v>199</v>
      </c>
      <c r="G62" s="1067"/>
      <c r="H62" s="1067" t="s">
        <v>200</v>
      </c>
      <c r="I62" s="1067"/>
      <c r="J62" s="1067"/>
      <c r="K62" s="457"/>
      <c r="L62" s="457"/>
      <c r="M62" s="457"/>
      <c r="N62" s="457"/>
      <c r="O62" s="457"/>
    </row>
    <row r="63" spans="1:15" s="94" customFormat="1" ht="25.5" hidden="1" customHeight="1">
      <c r="A63" s="1067"/>
      <c r="B63" s="1067"/>
      <c r="C63" s="1067" t="s">
        <v>223</v>
      </c>
      <c r="D63" s="477" t="s">
        <v>224</v>
      </c>
      <c r="E63" s="477"/>
      <c r="F63" s="1067" t="s">
        <v>223</v>
      </c>
      <c r="G63" s="477" t="s">
        <v>224</v>
      </c>
      <c r="H63" s="1067" t="s">
        <v>223</v>
      </c>
      <c r="I63" s="477"/>
      <c r="J63" s="477" t="s">
        <v>224</v>
      </c>
      <c r="K63" s="457"/>
      <c r="L63" s="457"/>
      <c r="M63" s="457"/>
      <c r="N63" s="457"/>
      <c r="O63" s="457"/>
    </row>
    <row r="64" spans="1:15" s="94" customFormat="1" hidden="1">
      <c r="A64" s="1067"/>
      <c r="B64" s="1067"/>
      <c r="C64" s="1067"/>
      <c r="D64" s="477" t="s">
        <v>225</v>
      </c>
      <c r="E64" s="477"/>
      <c r="F64" s="1067"/>
      <c r="G64" s="477" t="s">
        <v>225</v>
      </c>
      <c r="H64" s="1067"/>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67" t="s">
        <v>113</v>
      </c>
      <c r="B76" s="1067" t="s">
        <v>168</v>
      </c>
      <c r="C76" s="1067" t="s">
        <v>136</v>
      </c>
      <c r="D76" s="1067" t="s">
        <v>457</v>
      </c>
      <c r="E76" s="1067"/>
      <c r="F76" s="1067"/>
      <c r="G76" s="1067"/>
      <c r="H76" s="1067" t="s">
        <v>458</v>
      </c>
      <c r="I76" s="1067"/>
      <c r="J76" s="1067"/>
      <c r="K76" s="1067"/>
      <c r="L76" s="1067" t="s">
        <v>459</v>
      </c>
      <c r="M76" s="1067"/>
      <c r="N76" s="1067"/>
      <c r="O76" s="1067"/>
    </row>
    <row r="77" spans="1:15" s="383" customFormat="1" ht="15" customHeight="1">
      <c r="A77" s="1067"/>
      <c r="B77" s="1067"/>
      <c r="C77" s="1067"/>
      <c r="D77" s="1067" t="s">
        <v>229</v>
      </c>
      <c r="E77" s="1067" t="s">
        <v>230</v>
      </c>
      <c r="F77" s="1067" t="s">
        <v>231</v>
      </c>
      <c r="G77" s="1067" t="s">
        <v>171</v>
      </c>
      <c r="H77" s="1067" t="s">
        <v>229</v>
      </c>
      <c r="I77" s="1067" t="s">
        <v>230</v>
      </c>
      <c r="J77" s="1067" t="s">
        <v>231</v>
      </c>
      <c r="K77" s="1067" t="s">
        <v>232</v>
      </c>
      <c r="L77" s="1067" t="s">
        <v>229</v>
      </c>
      <c r="M77" s="1067" t="s">
        <v>233</v>
      </c>
      <c r="N77" s="1067" t="s">
        <v>231</v>
      </c>
      <c r="O77" s="1067" t="s">
        <v>232</v>
      </c>
    </row>
    <row r="78" spans="1:15" s="383" customFormat="1" ht="6.75" customHeight="1">
      <c r="A78" s="1067"/>
      <c r="B78" s="1067"/>
      <c r="C78" s="1067"/>
      <c r="D78" s="1067"/>
      <c r="E78" s="1067"/>
      <c r="F78" s="1067"/>
      <c r="G78" s="1067"/>
      <c r="H78" s="1067"/>
      <c r="I78" s="1067"/>
      <c r="J78" s="1067"/>
      <c r="K78" s="1067"/>
      <c r="L78" s="1067"/>
      <c r="M78" s="1067"/>
      <c r="N78" s="1067"/>
      <c r="O78" s="1067"/>
    </row>
    <row r="79" spans="1:15" s="383" customFormat="1" ht="18.75" customHeight="1">
      <c r="A79" s="1067"/>
      <c r="B79" s="1067"/>
      <c r="C79" s="1067"/>
      <c r="D79" s="1067"/>
      <c r="E79" s="1067"/>
      <c r="F79" s="1067"/>
      <c r="G79" s="1067"/>
      <c r="H79" s="1067"/>
      <c r="I79" s="1067"/>
      <c r="J79" s="1067"/>
      <c r="K79" s="1067"/>
      <c r="L79" s="1067"/>
      <c r="M79" s="1067"/>
      <c r="N79" s="1067"/>
      <c r="O79" s="1067"/>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67" t="s">
        <v>239</v>
      </c>
      <c r="C83" s="944"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67"/>
      <c r="C84" s="944"/>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67">
        <v>2</v>
      </c>
      <c r="B85" s="1067" t="s">
        <v>241</v>
      </c>
      <c r="C85" s="944"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67"/>
      <c r="B86" s="1067"/>
      <c r="C86" s="944"/>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67"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67"/>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67" t="s">
        <v>113</v>
      </c>
      <c r="B95" s="1067" t="s">
        <v>168</v>
      </c>
      <c r="C95" s="1067" t="s">
        <v>136</v>
      </c>
      <c r="D95" s="1067" t="s">
        <v>457</v>
      </c>
      <c r="E95" s="1067"/>
      <c r="F95" s="1067"/>
      <c r="G95" s="1067"/>
      <c r="H95" s="1067" t="s">
        <v>458</v>
      </c>
      <c r="I95" s="1067"/>
      <c r="J95" s="1067"/>
      <c r="K95" s="1067"/>
      <c r="L95" s="1067" t="s">
        <v>459</v>
      </c>
      <c r="M95" s="1067"/>
      <c r="N95" s="1067"/>
      <c r="O95" s="1067"/>
    </row>
    <row r="96" spans="1:17" ht="15" customHeight="1">
      <c r="A96" s="1067"/>
      <c r="B96" s="1067"/>
      <c r="C96" s="1067"/>
      <c r="D96" s="1067" t="s">
        <v>229</v>
      </c>
      <c r="E96" s="1067" t="s">
        <v>230</v>
      </c>
      <c r="F96" s="1067" t="s">
        <v>231</v>
      </c>
      <c r="G96" s="1067" t="s">
        <v>171</v>
      </c>
      <c r="H96" s="1067" t="s">
        <v>229</v>
      </c>
      <c r="I96" s="1067" t="s">
        <v>230</v>
      </c>
      <c r="J96" s="1067" t="s">
        <v>231</v>
      </c>
      <c r="K96" s="1067" t="s">
        <v>232</v>
      </c>
      <c r="L96" s="1067" t="s">
        <v>229</v>
      </c>
      <c r="M96" s="1067" t="s">
        <v>233</v>
      </c>
      <c r="N96" s="1067" t="s">
        <v>231</v>
      </c>
      <c r="O96" s="1067" t="s">
        <v>232</v>
      </c>
    </row>
    <row r="97" spans="1:15" ht="6.75" customHeight="1">
      <c r="A97" s="1067"/>
      <c r="B97" s="1067"/>
      <c r="C97" s="1067"/>
      <c r="D97" s="1067"/>
      <c r="E97" s="1067"/>
      <c r="F97" s="1067"/>
      <c r="G97" s="1067"/>
      <c r="H97" s="1067"/>
      <c r="I97" s="1067"/>
      <c r="J97" s="1067"/>
      <c r="K97" s="1067"/>
      <c r="L97" s="1067"/>
      <c r="M97" s="1067"/>
      <c r="N97" s="1067"/>
      <c r="O97" s="1067"/>
    </row>
    <row r="98" spans="1:15">
      <c r="A98" s="1067"/>
      <c r="B98" s="1067"/>
      <c r="C98" s="1067"/>
      <c r="D98" s="1067"/>
      <c r="E98" s="1067"/>
      <c r="F98" s="1067"/>
      <c r="G98" s="1067"/>
      <c r="H98" s="1067"/>
      <c r="I98" s="1067"/>
      <c r="J98" s="1067"/>
      <c r="K98" s="1067"/>
      <c r="L98" s="1067"/>
      <c r="M98" s="1067"/>
      <c r="N98" s="1067"/>
      <c r="O98" s="1067"/>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67" t="s">
        <v>239</v>
      </c>
      <c r="C102" s="944"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67"/>
      <c r="C103" s="944"/>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67">
        <v>2</v>
      </c>
      <c r="B104" s="1067" t="s">
        <v>241</v>
      </c>
      <c r="C104" s="944"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67"/>
      <c r="B105" s="1067"/>
      <c r="C105" s="944"/>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67"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67"/>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67" t="s">
        <v>113</v>
      </c>
      <c r="B116" s="1067" t="s">
        <v>168</v>
      </c>
      <c r="C116" s="1067" t="s">
        <v>457</v>
      </c>
      <c r="D116" s="1067"/>
      <c r="E116" s="1067"/>
      <c r="F116" s="1067"/>
      <c r="G116" s="1067" t="s">
        <v>458</v>
      </c>
      <c r="H116" s="1067"/>
      <c r="I116" s="1067"/>
      <c r="J116" s="1067"/>
      <c r="K116" s="1067" t="s">
        <v>459</v>
      </c>
      <c r="L116" s="1067"/>
      <c r="M116" s="1067"/>
      <c r="N116" s="1067"/>
      <c r="O116" s="501"/>
    </row>
    <row r="117" spans="1:19" s="383" customFormat="1" ht="24.75" customHeight="1">
      <c r="A117" s="1067"/>
      <c r="B117" s="1067"/>
      <c r="C117" s="477" t="s">
        <v>247</v>
      </c>
      <c r="D117" s="1072" t="s">
        <v>248</v>
      </c>
      <c r="E117" s="1073"/>
      <c r="F117" s="460" t="s">
        <v>171</v>
      </c>
      <c r="G117" s="460" t="s">
        <v>247</v>
      </c>
      <c r="H117" s="1068" t="s">
        <v>248</v>
      </c>
      <c r="I117" s="1069"/>
      <c r="J117" s="477" t="s">
        <v>171</v>
      </c>
      <c r="K117" s="477" t="s">
        <v>247</v>
      </c>
      <c r="L117" s="1068" t="s">
        <v>248</v>
      </c>
      <c r="M117" s="1069"/>
      <c r="N117" s="477" t="s">
        <v>171</v>
      </c>
      <c r="O117" s="501"/>
    </row>
    <row r="118" spans="1:19" s="383" customFormat="1">
      <c r="A118" s="477">
        <v>1</v>
      </c>
      <c r="B118" s="478" t="s">
        <v>249</v>
      </c>
      <c r="C118" s="490">
        <f>F118/D118</f>
        <v>3845.0754300838107</v>
      </c>
      <c r="D118" s="1074">
        <v>22.67</v>
      </c>
      <c r="E118" s="1075"/>
      <c r="F118" s="224">
        <f>72167.86+15000</f>
        <v>87167.86</v>
      </c>
      <c r="G118" s="502">
        <v>3183</v>
      </c>
      <c r="H118" s="1076">
        <v>22.67</v>
      </c>
      <c r="I118" s="1077"/>
      <c r="J118" s="449">
        <v>72167.86</v>
      </c>
      <c r="K118" s="490">
        <v>3183</v>
      </c>
      <c r="L118" s="1076">
        <v>22.67</v>
      </c>
      <c r="M118" s="1077"/>
      <c r="N118" s="449">
        <v>72167.86</v>
      </c>
      <c r="O118" s="501"/>
    </row>
    <row r="119" spans="1:19" s="383" customFormat="1">
      <c r="A119" s="477">
        <v>2</v>
      </c>
      <c r="B119" s="478" t="s">
        <v>250</v>
      </c>
      <c r="C119" s="490">
        <f>F119/D119</f>
        <v>236.59507290867231</v>
      </c>
      <c r="D119" s="1074">
        <v>651.5</v>
      </c>
      <c r="E119" s="1075"/>
      <c r="F119" s="224">
        <f>111407.4+42734.29</f>
        <v>154141.69</v>
      </c>
      <c r="G119" s="503">
        <v>171</v>
      </c>
      <c r="H119" s="1078">
        <v>651.5</v>
      </c>
      <c r="I119" s="1079"/>
      <c r="J119" s="449">
        <v>111407.4</v>
      </c>
      <c r="K119" s="504">
        <v>171</v>
      </c>
      <c r="L119" s="1078">
        <v>651.5</v>
      </c>
      <c r="M119" s="1079"/>
      <c r="N119" s="449">
        <v>111407.4</v>
      </c>
      <c r="O119" s="501"/>
    </row>
    <row r="120" spans="1:19" s="383" customFormat="1">
      <c r="A120" s="505"/>
      <c r="B120" s="506" t="s">
        <v>178</v>
      </c>
      <c r="C120" s="507" t="s">
        <v>18</v>
      </c>
      <c r="D120" s="1074" t="s">
        <v>18</v>
      </c>
      <c r="E120" s="1075"/>
      <c r="F120" s="224">
        <f>SUM(F118:F119)</f>
        <v>241309.55</v>
      </c>
      <c r="G120" s="508" t="s">
        <v>18</v>
      </c>
      <c r="H120" s="1076" t="s">
        <v>18</v>
      </c>
      <c r="I120" s="1077"/>
      <c r="J120" s="449">
        <f>SUM(J118:J119)</f>
        <v>183575.26</v>
      </c>
      <c r="K120" s="507" t="s">
        <v>18</v>
      </c>
      <c r="L120" s="1076" t="s">
        <v>18</v>
      </c>
      <c r="M120" s="1077"/>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67" t="s">
        <v>113</v>
      </c>
      <c r="B126" s="1067" t="s">
        <v>168</v>
      </c>
      <c r="C126" s="1067" t="s">
        <v>457</v>
      </c>
      <c r="D126" s="1067"/>
      <c r="E126" s="1067"/>
      <c r="F126" s="1067"/>
      <c r="G126" s="1067" t="s">
        <v>458</v>
      </c>
      <c r="H126" s="1067"/>
      <c r="I126" s="1067"/>
      <c r="J126" s="1067"/>
      <c r="K126" s="1067" t="s">
        <v>459</v>
      </c>
      <c r="L126" s="1067"/>
      <c r="M126" s="1067"/>
      <c r="N126" s="1067"/>
      <c r="O126" s="501"/>
    </row>
    <row r="127" spans="1:19" s="383" customFormat="1" ht="27" customHeight="1">
      <c r="A127" s="1067"/>
      <c r="B127" s="1067"/>
      <c r="C127" s="477" t="s">
        <v>247</v>
      </c>
      <c r="D127" s="1068" t="s">
        <v>248</v>
      </c>
      <c r="E127" s="1069"/>
      <c r="F127" s="477" t="s">
        <v>171</v>
      </c>
      <c r="G127" s="477" t="s">
        <v>247</v>
      </c>
      <c r="H127" s="1068" t="s">
        <v>248</v>
      </c>
      <c r="I127" s="1069"/>
      <c r="J127" s="477" t="s">
        <v>171</v>
      </c>
      <c r="K127" s="477" t="s">
        <v>247</v>
      </c>
      <c r="L127" s="1068" t="s">
        <v>248</v>
      </c>
      <c r="M127" s="1069"/>
      <c r="N127" s="477" t="s">
        <v>171</v>
      </c>
      <c r="O127" s="501"/>
    </row>
    <row r="128" spans="1:19" s="383" customFormat="1">
      <c r="A128" s="477">
        <v>1</v>
      </c>
      <c r="B128" s="478" t="s">
        <v>249</v>
      </c>
      <c r="C128" s="490">
        <v>3892</v>
      </c>
      <c r="D128" s="1076">
        <v>22.67</v>
      </c>
      <c r="E128" s="1077"/>
      <c r="F128" s="61">
        <f>88205.16-15000</f>
        <v>73205.16</v>
      </c>
      <c r="G128" s="61">
        <v>3892</v>
      </c>
      <c r="H128" s="1076">
        <v>22.67</v>
      </c>
      <c r="I128" s="1077"/>
      <c r="J128" s="61">
        <v>88205.16</v>
      </c>
      <c r="K128" s="61">
        <v>3892</v>
      </c>
      <c r="L128" s="1076">
        <v>22.67</v>
      </c>
      <c r="M128" s="1077"/>
      <c r="N128" s="61">
        <v>88205.16</v>
      </c>
      <c r="O128" s="501"/>
    </row>
    <row r="129" spans="1:17" s="383" customFormat="1">
      <c r="A129" s="477">
        <v>2</v>
      </c>
      <c r="B129" s="478" t="s">
        <v>250</v>
      </c>
      <c r="C129" s="61">
        <v>209</v>
      </c>
      <c r="D129" s="1076">
        <v>651.5</v>
      </c>
      <c r="E129" s="1077"/>
      <c r="F129" s="61">
        <f>136164.6-42734.29</f>
        <v>93430.31</v>
      </c>
      <c r="G129" s="61">
        <v>209</v>
      </c>
      <c r="H129" s="1076">
        <v>651.5</v>
      </c>
      <c r="I129" s="1077"/>
      <c r="J129" s="61">
        <v>136164.6</v>
      </c>
      <c r="K129" s="61">
        <v>209</v>
      </c>
      <c r="L129" s="1076">
        <v>651.5</v>
      </c>
      <c r="M129" s="1077"/>
      <c r="N129" s="61">
        <v>136164.6</v>
      </c>
      <c r="O129" s="501"/>
    </row>
    <row r="130" spans="1:17" s="383" customFormat="1">
      <c r="A130" s="505"/>
      <c r="B130" s="506" t="s">
        <v>178</v>
      </c>
      <c r="C130" s="507" t="s">
        <v>18</v>
      </c>
      <c r="D130" s="1076" t="s">
        <v>18</v>
      </c>
      <c r="E130" s="1077"/>
      <c r="F130" s="61">
        <f>SUM(F128:F129)</f>
        <v>166635.47</v>
      </c>
      <c r="G130" s="507" t="s">
        <v>18</v>
      </c>
      <c r="H130" s="1076" t="s">
        <v>18</v>
      </c>
      <c r="I130" s="1077"/>
      <c r="J130" s="61">
        <f>SUM(J128:J129)</f>
        <v>224369.76</v>
      </c>
      <c r="K130" s="507" t="s">
        <v>18</v>
      </c>
      <c r="L130" s="1076" t="s">
        <v>18</v>
      </c>
      <c r="M130" s="1077"/>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67" t="s">
        <v>113</v>
      </c>
      <c r="B138" s="1067" t="s">
        <v>2</v>
      </c>
      <c r="C138" s="1067" t="s">
        <v>137</v>
      </c>
      <c r="D138" s="1067"/>
      <c r="E138" s="1067"/>
      <c r="F138" s="1067"/>
      <c r="G138" s="1067" t="s">
        <v>138</v>
      </c>
      <c r="H138" s="1067"/>
      <c r="I138" s="1067"/>
      <c r="J138" s="1067"/>
      <c r="K138" s="1067" t="s">
        <v>139</v>
      </c>
      <c r="L138" s="1067"/>
      <c r="M138" s="1067"/>
      <c r="N138" s="1067"/>
      <c r="O138" s="501"/>
    </row>
    <row r="139" spans="1:17" s="383" customFormat="1" ht="23.25" customHeight="1">
      <c r="A139" s="1067"/>
      <c r="B139" s="1067"/>
      <c r="C139" s="1067" t="s">
        <v>252</v>
      </c>
      <c r="D139" s="1068" t="s">
        <v>253</v>
      </c>
      <c r="E139" s="1069"/>
      <c r="F139" s="1067" t="s">
        <v>171</v>
      </c>
      <c r="G139" s="1067" t="s">
        <v>252</v>
      </c>
      <c r="H139" s="1068" t="s">
        <v>253</v>
      </c>
      <c r="I139" s="1069"/>
      <c r="J139" s="1067" t="s">
        <v>171</v>
      </c>
      <c r="K139" s="1067" t="s">
        <v>252</v>
      </c>
      <c r="L139" s="1068" t="s">
        <v>253</v>
      </c>
      <c r="M139" s="1069"/>
      <c r="N139" s="1067" t="s">
        <v>171</v>
      </c>
      <c r="O139" s="501"/>
    </row>
    <row r="140" spans="1:17" s="383" customFormat="1" ht="27" customHeight="1">
      <c r="A140" s="1067"/>
      <c r="B140" s="1067"/>
      <c r="C140" s="1067"/>
      <c r="D140" s="477" t="s">
        <v>254</v>
      </c>
      <c r="E140" s="477" t="s">
        <v>255</v>
      </c>
      <c r="F140" s="1067"/>
      <c r="G140" s="1067"/>
      <c r="H140" s="477" t="s">
        <v>255</v>
      </c>
      <c r="I140" s="477" t="s">
        <v>256</v>
      </c>
      <c r="J140" s="1067"/>
      <c r="K140" s="1067"/>
      <c r="L140" s="1068" t="s">
        <v>257</v>
      </c>
      <c r="M140" s="1069"/>
      <c r="N140" s="1067"/>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68">
        <v>1867.21</v>
      </c>
      <c r="M141" s="1069"/>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68">
        <v>6.29</v>
      </c>
      <c r="M142" s="1069"/>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68">
        <v>1867.21</v>
      </c>
      <c r="M143" s="1069"/>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80" t="s">
        <v>113</v>
      </c>
      <c r="B150" s="1080" t="s">
        <v>2</v>
      </c>
      <c r="C150" s="1068" t="s">
        <v>457</v>
      </c>
      <c r="D150" s="1081"/>
      <c r="E150" s="1081"/>
      <c r="F150" s="1069"/>
      <c r="G150" s="1068" t="s">
        <v>458</v>
      </c>
      <c r="H150" s="1081"/>
      <c r="I150" s="1081"/>
      <c r="J150" s="1069"/>
      <c r="K150" s="1068" t="s">
        <v>459</v>
      </c>
      <c r="L150" s="1081"/>
      <c r="M150" s="1081"/>
      <c r="N150" s="1069"/>
      <c r="O150" s="516"/>
    </row>
    <row r="151" spans="1:19" s="383" customFormat="1" ht="21" customHeight="1">
      <c r="A151" s="1067"/>
      <c r="B151" s="1067"/>
      <c r="C151" s="1080" t="s">
        <v>252</v>
      </c>
      <c r="D151" s="1068" t="s">
        <v>253</v>
      </c>
      <c r="E151" s="1069"/>
      <c r="F151" s="1080" t="s">
        <v>171</v>
      </c>
      <c r="G151" s="1080" t="s">
        <v>252</v>
      </c>
      <c r="H151" s="1068" t="s">
        <v>253</v>
      </c>
      <c r="I151" s="1069"/>
      <c r="J151" s="1080" t="s">
        <v>171</v>
      </c>
      <c r="K151" s="1080" t="s">
        <v>252</v>
      </c>
      <c r="L151" s="1068" t="s">
        <v>253</v>
      </c>
      <c r="M151" s="1069"/>
      <c r="N151" s="1080" t="s">
        <v>171</v>
      </c>
      <c r="O151" s="516"/>
    </row>
    <row r="152" spans="1:19" s="383" customFormat="1" ht="25.5">
      <c r="A152" s="1067"/>
      <c r="B152" s="1067"/>
      <c r="C152" s="1067"/>
      <c r="D152" s="477" t="s">
        <v>472</v>
      </c>
      <c r="E152" s="477" t="s">
        <v>473</v>
      </c>
      <c r="F152" s="1067"/>
      <c r="G152" s="1067"/>
      <c r="H152" s="477" t="s">
        <v>474</v>
      </c>
      <c r="I152" s="477" t="s">
        <v>475</v>
      </c>
      <c r="J152" s="1067"/>
      <c r="K152" s="1067"/>
      <c r="L152" s="477" t="s">
        <v>476</v>
      </c>
      <c r="M152" s="477" t="s">
        <v>477</v>
      </c>
      <c r="N152" s="1067"/>
      <c r="O152" s="516"/>
      <c r="Q152" s="397">
        <f>F160</f>
        <v>801569.99999999988</v>
      </c>
      <c r="R152" s="397">
        <f>J160</f>
        <v>810098.39</v>
      </c>
      <c r="S152" s="397">
        <f>N160</f>
        <v>820430.14</v>
      </c>
    </row>
    <row r="153" spans="1:19" s="383" customFormat="1" ht="15" customHeight="1">
      <c r="A153" s="477">
        <v>1</v>
      </c>
      <c r="B153" s="517" t="s">
        <v>258</v>
      </c>
      <c r="C153" s="450">
        <f>F153/((D153+E153)/2)</f>
        <v>206.23806453641967</v>
      </c>
      <c r="D153" s="477">
        <v>1907.76</v>
      </c>
      <c r="E153" s="477">
        <v>1907.76</v>
      </c>
      <c r="F153" s="61">
        <f>216587.99+176864.74</f>
        <v>393452.73</v>
      </c>
      <c r="G153" s="450">
        <f>J153/((H153+I153)/2)</f>
        <v>200.94530634522602</v>
      </c>
      <c r="H153" s="477">
        <v>1907.76</v>
      </c>
      <c r="I153" s="477">
        <v>1976.42</v>
      </c>
      <c r="J153" s="61">
        <f>218616.21+171637.66</f>
        <v>390253.87</v>
      </c>
      <c r="K153" s="450">
        <f t="shared" ref="K153:K154" si="10">N153/((L153+M153)/2)</f>
        <v>197.16875967658697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50009.068249258155</v>
      </c>
      <c r="D154" s="477">
        <v>6.64</v>
      </c>
      <c r="E154" s="477">
        <v>6.84</v>
      </c>
      <c r="F154" s="61">
        <v>337061.12</v>
      </c>
      <c r="G154" s="450">
        <f t="shared" ref="G154" si="11">J154/((H154+I154)/2)</f>
        <v>50009.729301655869</v>
      </c>
      <c r="H154" s="477">
        <v>6.84</v>
      </c>
      <c r="I154" s="477">
        <v>7.05</v>
      </c>
      <c r="J154" s="61">
        <v>347317.57</v>
      </c>
      <c r="K154" s="450">
        <f t="shared" si="10"/>
        <v>50008.690426275338</v>
      </c>
      <c r="L154" s="477">
        <v>7.05</v>
      </c>
      <c r="M154" s="477">
        <v>7.26</v>
      </c>
      <c r="N154" s="61">
        <v>357812.18</v>
      </c>
      <c r="O154" s="501"/>
      <c r="Q154" s="398">
        <f>SUM(Q152:Q153)</f>
        <v>920263.99999999988</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324.40666534417778</v>
      </c>
      <c r="D156" s="509">
        <v>49.57</v>
      </c>
      <c r="E156" s="509">
        <v>51.25</v>
      </c>
      <c r="F156" s="61">
        <v>16353.34</v>
      </c>
      <c r="G156" s="450">
        <f>J156/((H156+I156)/2)</f>
        <v>324.58928225962472</v>
      </c>
      <c r="H156" s="509">
        <v>51.25</v>
      </c>
      <c r="I156" s="509">
        <v>52.13</v>
      </c>
      <c r="J156" s="61">
        <v>16778.02</v>
      </c>
      <c r="K156" s="450">
        <f>N156/((L156+M156)/2)</f>
        <v>324.77997314406286</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324.53275671696724</v>
      </c>
      <c r="D158" s="509">
        <v>53.74</v>
      </c>
      <c r="E158" s="518">
        <v>54.94</v>
      </c>
      <c r="F158" s="224">
        <v>17635.11</v>
      </c>
      <c r="G158" s="519">
        <f>J158/((H158+I158)/2)</f>
        <v>324.49029823931011</v>
      </c>
      <c r="H158" s="518">
        <v>54.94</v>
      </c>
      <c r="I158" s="509">
        <v>56.38</v>
      </c>
      <c r="J158" s="61">
        <v>18061.13</v>
      </c>
      <c r="K158" s="450">
        <f>N158/((L158+M158)/2)</f>
        <v>324.78006385242992</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50.836373936912821</v>
      </c>
      <c r="H159" s="518">
        <v>728.95</v>
      </c>
      <c r="I159" s="509">
        <v>753.76</v>
      </c>
      <c r="J159" s="61">
        <v>37687.800000000003</v>
      </c>
      <c r="K159" s="450">
        <f>N159/((L159+M159)/2)</f>
        <v>50.836373936912821</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801569.99999999988</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67" t="s">
        <v>113</v>
      </c>
      <c r="B166" s="1067" t="s">
        <v>2</v>
      </c>
      <c r="C166" s="1067" t="s">
        <v>137</v>
      </c>
      <c r="D166" s="1067"/>
      <c r="E166" s="1067"/>
      <c r="F166" s="1067"/>
      <c r="G166" s="1067" t="s">
        <v>138</v>
      </c>
      <c r="H166" s="1067"/>
      <c r="I166" s="1067"/>
      <c r="J166" s="1067"/>
      <c r="K166" s="1067" t="s">
        <v>139</v>
      </c>
      <c r="L166" s="1067"/>
      <c r="M166" s="1067"/>
      <c r="N166" s="1067"/>
      <c r="O166" s="501"/>
    </row>
    <row r="167" spans="1:19" s="383" customFormat="1" ht="27" customHeight="1">
      <c r="A167" s="1067"/>
      <c r="B167" s="1067"/>
      <c r="C167" s="1067" t="s">
        <v>252</v>
      </c>
      <c r="D167" s="1068" t="s">
        <v>253</v>
      </c>
      <c r="E167" s="1069"/>
      <c r="F167" s="1067" t="s">
        <v>171</v>
      </c>
      <c r="G167" s="1067" t="s">
        <v>252</v>
      </c>
      <c r="H167" s="1068" t="s">
        <v>253</v>
      </c>
      <c r="I167" s="1069"/>
      <c r="J167" s="1067" t="s">
        <v>171</v>
      </c>
      <c r="K167" s="1067" t="s">
        <v>252</v>
      </c>
      <c r="L167" s="1068" t="s">
        <v>253</v>
      </c>
      <c r="M167" s="1069"/>
      <c r="N167" s="1067" t="s">
        <v>171</v>
      </c>
      <c r="O167" s="501"/>
    </row>
    <row r="168" spans="1:19" s="383" customFormat="1" ht="30.75" customHeight="1">
      <c r="A168" s="1067"/>
      <c r="B168" s="1067"/>
      <c r="C168" s="1067"/>
      <c r="D168" s="477" t="s">
        <v>266</v>
      </c>
      <c r="E168" s="477" t="s">
        <v>267</v>
      </c>
      <c r="F168" s="1067"/>
      <c r="G168" s="1067"/>
      <c r="H168" s="477" t="s">
        <v>267</v>
      </c>
      <c r="I168" s="477" t="s">
        <v>268</v>
      </c>
      <c r="J168" s="1067"/>
      <c r="K168" s="1067"/>
      <c r="L168" s="1068" t="s">
        <v>257</v>
      </c>
      <c r="M168" s="1069"/>
      <c r="N168" s="1067"/>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68">
        <v>1867.21</v>
      </c>
      <c r="M169" s="1069"/>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68">
        <v>6.29</v>
      </c>
      <c r="M170" s="1069"/>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68">
        <v>1867.21</v>
      </c>
      <c r="M171" s="1069"/>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80" t="s">
        <v>113</v>
      </c>
      <c r="B178" s="1080" t="s">
        <v>2</v>
      </c>
      <c r="C178" s="1068" t="s">
        <v>457</v>
      </c>
      <c r="D178" s="1081"/>
      <c r="E178" s="1081"/>
      <c r="F178" s="1069"/>
      <c r="G178" s="1068" t="s">
        <v>458</v>
      </c>
      <c r="H178" s="1081"/>
      <c r="I178" s="1081"/>
      <c r="J178" s="1069"/>
      <c r="K178" s="1068" t="s">
        <v>459</v>
      </c>
      <c r="L178" s="1081"/>
      <c r="M178" s="1081"/>
      <c r="N178" s="1069"/>
      <c r="O178" s="516"/>
    </row>
    <row r="179" spans="1:19" s="383" customFormat="1" ht="23.25" customHeight="1">
      <c r="A179" s="1067"/>
      <c r="B179" s="1067"/>
      <c r="C179" s="1080" t="s">
        <v>252</v>
      </c>
      <c r="D179" s="1068" t="s">
        <v>253</v>
      </c>
      <c r="E179" s="1069"/>
      <c r="F179" s="1080" t="s">
        <v>171</v>
      </c>
      <c r="G179" s="1080" t="s">
        <v>252</v>
      </c>
      <c r="H179" s="1068" t="s">
        <v>253</v>
      </c>
      <c r="I179" s="1069"/>
      <c r="J179" s="1080" t="s">
        <v>171</v>
      </c>
      <c r="K179" s="1080" t="s">
        <v>252</v>
      </c>
      <c r="L179" s="1068" t="s">
        <v>253</v>
      </c>
      <c r="M179" s="1069"/>
      <c r="N179" s="1080" t="s">
        <v>171</v>
      </c>
      <c r="O179" s="516"/>
    </row>
    <row r="180" spans="1:19" s="383" customFormat="1" ht="25.5">
      <c r="A180" s="1067"/>
      <c r="B180" s="1067"/>
      <c r="C180" s="1067"/>
      <c r="D180" s="477" t="s">
        <v>472</v>
      </c>
      <c r="E180" s="477" t="s">
        <v>473</v>
      </c>
      <c r="F180" s="1067"/>
      <c r="G180" s="1067"/>
      <c r="H180" s="477" t="s">
        <v>474</v>
      </c>
      <c r="I180" s="477" t="s">
        <v>475</v>
      </c>
      <c r="J180" s="1067"/>
      <c r="K180" s="1067"/>
      <c r="L180" s="477" t="s">
        <v>476</v>
      </c>
      <c r="M180" s="477" t="s">
        <v>477</v>
      </c>
      <c r="N180" s="1067"/>
      <c r="O180" s="516"/>
    </row>
    <row r="181" spans="1:19" s="383" customFormat="1" ht="15.75" customHeight="1">
      <c r="A181" s="477">
        <v>1</v>
      </c>
      <c r="B181" s="517" t="s">
        <v>258</v>
      </c>
      <c r="C181" s="450">
        <f>F181/((D181+E181)/2)</f>
        <v>62.216421352790711</v>
      </c>
      <c r="D181" s="477">
        <v>1907.76</v>
      </c>
      <c r="E181" s="477">
        <v>1907.76</v>
      </c>
      <c r="F181" s="61">
        <v>118694</v>
      </c>
      <c r="G181" s="450">
        <f>J181/((H181+I181)/2)</f>
        <v>62.46236786142763</v>
      </c>
      <c r="H181" s="477">
        <v>1907.76</v>
      </c>
      <c r="I181" s="477">
        <v>1976.42</v>
      </c>
      <c r="J181" s="61">
        <v>121307.54</v>
      </c>
      <c r="K181" s="450">
        <f>N181/((L181+M181)/2)</f>
        <v>62.979381912751336</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67" t="s">
        <v>113</v>
      </c>
      <c r="B195" s="1067" t="s">
        <v>168</v>
      </c>
      <c r="C195" s="1067" t="s">
        <v>364</v>
      </c>
      <c r="D195" s="1067" t="s">
        <v>137</v>
      </c>
      <c r="E195" s="1067"/>
      <c r="F195" s="1067"/>
      <c r="G195" s="1067" t="s">
        <v>138</v>
      </c>
      <c r="H195" s="1067"/>
      <c r="I195" s="1067"/>
      <c r="J195" s="1067" t="s">
        <v>139</v>
      </c>
      <c r="K195" s="1067"/>
      <c r="L195" s="1067"/>
      <c r="M195" s="457"/>
      <c r="N195" s="457"/>
      <c r="O195" s="457"/>
    </row>
    <row r="196" spans="1:15">
      <c r="A196" s="1067"/>
      <c r="B196" s="1067"/>
      <c r="C196" s="1067"/>
      <c r="D196" s="1067" t="s">
        <v>343</v>
      </c>
      <c r="E196" s="1067" t="s">
        <v>231</v>
      </c>
      <c r="F196" s="1067" t="s">
        <v>171</v>
      </c>
      <c r="G196" s="1067" t="s">
        <v>343</v>
      </c>
      <c r="H196" s="477" t="s">
        <v>290</v>
      </c>
      <c r="I196" s="1067" t="s">
        <v>171</v>
      </c>
      <c r="J196" s="1067" t="s">
        <v>343</v>
      </c>
      <c r="K196" s="477" t="s">
        <v>290</v>
      </c>
      <c r="L196" s="1067" t="s">
        <v>171</v>
      </c>
      <c r="M196" s="457"/>
      <c r="N196" s="457"/>
      <c r="O196" s="457"/>
    </row>
    <row r="197" spans="1:15">
      <c r="A197" s="1067"/>
      <c r="B197" s="1067"/>
      <c r="C197" s="1067"/>
      <c r="D197" s="1067"/>
      <c r="E197" s="1067"/>
      <c r="F197" s="1067"/>
      <c r="G197" s="1067"/>
      <c r="H197" s="477" t="s">
        <v>358</v>
      </c>
      <c r="I197" s="1067"/>
      <c r="J197" s="1067"/>
      <c r="K197" s="477" t="s">
        <v>358</v>
      </c>
      <c r="L197" s="1067"/>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38" t="s">
        <v>113</v>
      </c>
      <c r="B2" s="1038" t="s">
        <v>2</v>
      </c>
      <c r="C2" s="1038" t="s">
        <v>198</v>
      </c>
      <c r="D2" s="1038"/>
      <c r="E2" s="1038"/>
      <c r="F2" s="1038"/>
      <c r="G2" s="1038" t="s">
        <v>199</v>
      </c>
      <c r="H2" s="1038"/>
      <c r="I2" s="1038"/>
      <c r="J2" s="1038"/>
      <c r="K2" s="1038" t="s">
        <v>200</v>
      </c>
      <c r="L2" s="1038"/>
      <c r="M2" s="1038"/>
      <c r="N2" s="1038"/>
    </row>
    <row r="3" spans="1:17" ht="38.25" hidden="1">
      <c r="A3" s="1038"/>
      <c r="B3" s="1038"/>
      <c r="C3" s="1038" t="s">
        <v>270</v>
      </c>
      <c r="D3" s="1038" t="s">
        <v>271</v>
      </c>
      <c r="E3" s="30" t="s">
        <v>272</v>
      </c>
      <c r="F3" s="1038" t="s">
        <v>273</v>
      </c>
      <c r="G3" s="1038" t="s">
        <v>270</v>
      </c>
      <c r="H3" s="1038" t="s">
        <v>271</v>
      </c>
      <c r="I3" s="30" t="s">
        <v>272</v>
      </c>
      <c r="J3" s="1038" t="s">
        <v>273</v>
      </c>
      <c r="K3" s="1038" t="s">
        <v>270</v>
      </c>
      <c r="L3" s="1038" t="s">
        <v>271</v>
      </c>
      <c r="M3" s="30" t="s">
        <v>274</v>
      </c>
      <c r="N3" s="1038" t="s">
        <v>273</v>
      </c>
    </row>
    <row r="4" spans="1:17" ht="25.5" hidden="1">
      <c r="A4" s="1038"/>
      <c r="B4" s="1038"/>
      <c r="C4" s="1038"/>
      <c r="D4" s="1038"/>
      <c r="E4" s="30" t="s">
        <v>275</v>
      </c>
      <c r="F4" s="1038"/>
      <c r="G4" s="1038"/>
      <c r="H4" s="1038"/>
      <c r="I4" s="30" t="s">
        <v>275</v>
      </c>
      <c r="J4" s="1038"/>
      <c r="K4" s="1038"/>
      <c r="L4" s="1038"/>
      <c r="M4" s="30" t="s">
        <v>275</v>
      </c>
      <c r="N4" s="1038"/>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38" t="s">
        <v>113</v>
      </c>
      <c r="B14" s="1038" t="s">
        <v>2</v>
      </c>
      <c r="C14" s="1038" t="s">
        <v>137</v>
      </c>
      <c r="D14" s="1038"/>
      <c r="E14" s="1038"/>
      <c r="F14" s="1038"/>
      <c r="G14" s="1038" t="s">
        <v>138</v>
      </c>
      <c r="H14" s="1038"/>
      <c r="I14" s="1038"/>
      <c r="J14" s="1038"/>
      <c r="K14" s="1038" t="s">
        <v>139</v>
      </c>
      <c r="L14" s="1038"/>
      <c r="M14" s="1038"/>
      <c r="N14" s="1038"/>
    </row>
    <row r="15" spans="1:17" ht="25.5" hidden="1">
      <c r="A15" s="1038"/>
      <c r="B15" s="1038"/>
      <c r="C15" s="1038" t="s">
        <v>280</v>
      </c>
      <c r="D15" s="1038" t="s">
        <v>281</v>
      </c>
      <c r="E15" s="1038" t="s">
        <v>282</v>
      </c>
      <c r="F15" s="1038" t="s">
        <v>171</v>
      </c>
      <c r="G15" s="1038" t="s">
        <v>280</v>
      </c>
      <c r="H15" s="30" t="s">
        <v>283</v>
      </c>
      <c r="I15" s="1038" t="s">
        <v>282</v>
      </c>
      <c r="J15" s="1038" t="s">
        <v>171</v>
      </c>
      <c r="K15" s="1038" t="s">
        <v>280</v>
      </c>
      <c r="L15" s="30" t="s">
        <v>283</v>
      </c>
      <c r="M15" s="1038" t="s">
        <v>282</v>
      </c>
      <c r="N15" s="1038" t="s">
        <v>171</v>
      </c>
    </row>
    <row r="16" spans="1:17" ht="25.5" hidden="1">
      <c r="A16" s="1038"/>
      <c r="B16" s="1038"/>
      <c r="C16" s="1038"/>
      <c r="D16" s="1038"/>
      <c r="E16" s="1038"/>
      <c r="F16" s="1038"/>
      <c r="G16" s="1038"/>
      <c r="H16" s="30" t="s">
        <v>284</v>
      </c>
      <c r="I16" s="1038"/>
      <c r="J16" s="1038"/>
      <c r="K16" s="1038"/>
      <c r="L16" s="30" t="s">
        <v>284</v>
      </c>
      <c r="M16" s="1038"/>
      <c r="N16" s="1038"/>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82" t="s">
        <v>113</v>
      </c>
      <c r="B27" s="1082" t="s">
        <v>2</v>
      </c>
      <c r="C27" s="1082" t="s">
        <v>289</v>
      </c>
      <c r="D27" s="1082" t="s">
        <v>457</v>
      </c>
      <c r="E27" s="1082"/>
      <c r="F27" s="1082"/>
      <c r="G27" s="1082"/>
      <c r="H27" s="1082" t="s">
        <v>458</v>
      </c>
      <c r="I27" s="1082"/>
      <c r="J27" s="1082"/>
      <c r="K27" s="1082"/>
      <c r="L27" s="1082" t="s">
        <v>459</v>
      </c>
      <c r="M27" s="1082"/>
      <c r="N27" s="1082"/>
      <c r="O27" s="1082"/>
    </row>
    <row r="28" spans="1:17" ht="25.5">
      <c r="A28" s="1082"/>
      <c r="B28" s="1082"/>
      <c r="C28" s="1082"/>
      <c r="D28" s="253" t="s">
        <v>290</v>
      </c>
      <c r="E28" s="253" t="s">
        <v>291</v>
      </c>
      <c r="F28" s="1082" t="s">
        <v>292</v>
      </c>
      <c r="G28" s="253" t="s">
        <v>224</v>
      </c>
      <c r="H28" s="1082" t="s">
        <v>293</v>
      </c>
      <c r="I28" s="253" t="s">
        <v>294</v>
      </c>
      <c r="J28" s="1082" t="s">
        <v>292</v>
      </c>
      <c r="K28" s="253" t="s">
        <v>224</v>
      </c>
      <c r="L28" s="1082" t="s">
        <v>293</v>
      </c>
      <c r="M28" s="253" t="s">
        <v>294</v>
      </c>
      <c r="N28" s="1082" t="s">
        <v>292</v>
      </c>
      <c r="O28" s="253" t="s">
        <v>224</v>
      </c>
    </row>
    <row r="29" spans="1:17">
      <c r="A29" s="1082"/>
      <c r="B29" s="1082"/>
      <c r="C29" s="1082"/>
      <c r="D29" s="253" t="s">
        <v>295</v>
      </c>
      <c r="E29" s="253" t="s">
        <v>296</v>
      </c>
      <c r="F29" s="1082"/>
      <c r="G29" s="253" t="s">
        <v>225</v>
      </c>
      <c r="H29" s="1082"/>
      <c r="I29" s="253" t="s">
        <v>297</v>
      </c>
      <c r="J29" s="1082"/>
      <c r="K29" s="253" t="s">
        <v>225</v>
      </c>
      <c r="L29" s="1082"/>
      <c r="M29" s="253" t="s">
        <v>297</v>
      </c>
      <c r="N29" s="1082"/>
      <c r="O29" s="253" t="s">
        <v>225</v>
      </c>
    </row>
    <row r="30" spans="1:17" ht="63.75">
      <c r="A30" s="253">
        <v>1</v>
      </c>
      <c r="B30" s="256" t="s">
        <v>298</v>
      </c>
      <c r="C30" s="273">
        <v>925.05</v>
      </c>
      <c r="D30" s="260">
        <v>1.61</v>
      </c>
      <c r="E30" s="257">
        <f>G30/F30/D30/C30</f>
        <v>12.877173669645522</v>
      </c>
      <c r="F30" s="254">
        <v>12</v>
      </c>
      <c r="G30" s="274">
        <v>230140.41</v>
      </c>
      <c r="H30" s="260">
        <v>1.61</v>
      </c>
      <c r="I30" s="257">
        <f>K30/J30/H30/C30</f>
        <v>12.877173669645522</v>
      </c>
      <c r="J30" s="254">
        <v>12</v>
      </c>
      <c r="K30" s="274">
        <v>230140.41</v>
      </c>
      <c r="L30" s="260">
        <v>1.61</v>
      </c>
      <c r="M30" s="257">
        <f>O30/N30/L30/C30</f>
        <v>12.877173669645522</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82" t="s">
        <v>113</v>
      </c>
      <c r="B41" s="1082" t="s">
        <v>2</v>
      </c>
      <c r="C41" s="1082" t="s">
        <v>289</v>
      </c>
      <c r="D41" s="1082" t="s">
        <v>457</v>
      </c>
      <c r="E41" s="1082"/>
      <c r="F41" s="1082"/>
      <c r="G41" s="1082"/>
      <c r="H41" s="1082" t="s">
        <v>458</v>
      </c>
      <c r="I41" s="1082"/>
      <c r="J41" s="1082"/>
      <c r="K41" s="1082"/>
      <c r="L41" s="1082" t="s">
        <v>459</v>
      </c>
      <c r="M41" s="1082"/>
      <c r="N41" s="1082"/>
      <c r="O41" s="1082"/>
    </row>
    <row r="42" spans="1:17" ht="25.5">
      <c r="A42" s="1082"/>
      <c r="B42" s="1082"/>
      <c r="C42" s="1082"/>
      <c r="D42" s="253" t="s">
        <v>290</v>
      </c>
      <c r="E42" s="253" t="s">
        <v>291</v>
      </c>
      <c r="F42" s="1082" t="s">
        <v>292</v>
      </c>
      <c r="G42" s="253" t="s">
        <v>224</v>
      </c>
      <c r="H42" s="1082" t="s">
        <v>293</v>
      </c>
      <c r="I42" s="253" t="s">
        <v>294</v>
      </c>
      <c r="J42" s="1082" t="s">
        <v>292</v>
      </c>
      <c r="K42" s="253" t="s">
        <v>224</v>
      </c>
      <c r="L42" s="1082" t="s">
        <v>293</v>
      </c>
      <c r="M42" s="253" t="s">
        <v>294</v>
      </c>
      <c r="N42" s="1082" t="s">
        <v>292</v>
      </c>
      <c r="O42" s="253" t="s">
        <v>224</v>
      </c>
    </row>
    <row r="43" spans="1:17">
      <c r="A43" s="1082"/>
      <c r="B43" s="1082"/>
      <c r="C43" s="1082"/>
      <c r="D43" s="253" t="s">
        <v>295</v>
      </c>
      <c r="E43" s="253" t="s">
        <v>296</v>
      </c>
      <c r="F43" s="1082"/>
      <c r="G43" s="253" t="s">
        <v>225</v>
      </c>
      <c r="H43" s="1082"/>
      <c r="I43" s="253" t="s">
        <v>297</v>
      </c>
      <c r="J43" s="1082"/>
      <c r="K43" s="253" t="s">
        <v>225</v>
      </c>
      <c r="L43" s="1082"/>
      <c r="M43" s="253" t="s">
        <v>297</v>
      </c>
      <c r="N43" s="1082"/>
      <c r="O43" s="253" t="s">
        <v>225</v>
      </c>
    </row>
    <row r="44" spans="1:17" ht="63.75" customHeight="1">
      <c r="A44" s="253">
        <v>1</v>
      </c>
      <c r="B44" s="256" t="s">
        <v>298</v>
      </c>
      <c r="C44" s="273">
        <v>925.05</v>
      </c>
      <c r="D44" s="260">
        <v>1.61</v>
      </c>
      <c r="E44" s="257">
        <f>G44/F44/D44/C44</f>
        <v>15.738768191479323</v>
      </c>
      <c r="F44" s="254">
        <v>12</v>
      </c>
      <c r="G44" s="274">
        <v>281282.73</v>
      </c>
      <c r="H44" s="260">
        <v>1.61</v>
      </c>
      <c r="I44" s="257">
        <f>K44/J44/H44/C44</f>
        <v>15.738768191479323</v>
      </c>
      <c r="J44" s="254">
        <v>12</v>
      </c>
      <c r="K44" s="274">
        <v>281282.73</v>
      </c>
      <c r="L44" s="260">
        <v>1.61</v>
      </c>
      <c r="M44" s="257">
        <f>O44/N44/L44/C44</f>
        <v>15.738768191479323</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83" t="s">
        <v>113</v>
      </c>
      <c r="B54" s="1083" t="s">
        <v>2</v>
      </c>
      <c r="C54" s="1083" t="s">
        <v>306</v>
      </c>
      <c r="D54" s="1086" t="s">
        <v>457</v>
      </c>
      <c r="E54" s="1087"/>
      <c r="F54" s="1087"/>
      <c r="G54" s="1088"/>
      <c r="H54" s="1086" t="s">
        <v>458</v>
      </c>
      <c r="I54" s="1087"/>
      <c r="J54" s="1087"/>
      <c r="K54" s="1088"/>
      <c r="L54" s="1086" t="s">
        <v>459</v>
      </c>
      <c r="M54" s="1087"/>
      <c r="N54" s="1087"/>
      <c r="O54" s="1088"/>
    </row>
    <row r="55" spans="1:17">
      <c r="A55" s="1084"/>
      <c r="B55" s="1084"/>
      <c r="C55" s="1084"/>
      <c r="D55" s="1083" t="s">
        <v>307</v>
      </c>
      <c r="E55" s="1083" t="s">
        <v>308</v>
      </c>
      <c r="F55" s="1083" t="s">
        <v>309</v>
      </c>
      <c r="G55" s="253" t="s">
        <v>224</v>
      </c>
      <c r="H55" s="1083" t="s">
        <v>307</v>
      </c>
      <c r="I55" s="1083" t="s">
        <v>308</v>
      </c>
      <c r="J55" s="1083" t="s">
        <v>309</v>
      </c>
      <c r="K55" s="253" t="s">
        <v>224</v>
      </c>
      <c r="L55" s="1083" t="s">
        <v>307</v>
      </c>
      <c r="M55" s="1083" t="s">
        <v>308</v>
      </c>
      <c r="N55" s="1083" t="s">
        <v>309</v>
      </c>
      <c r="O55" s="253" t="s">
        <v>224</v>
      </c>
    </row>
    <row r="56" spans="1:17" ht="42.75" customHeight="1">
      <c r="A56" s="1085"/>
      <c r="B56" s="1085"/>
      <c r="C56" s="1085"/>
      <c r="D56" s="1085"/>
      <c r="E56" s="1085"/>
      <c r="F56" s="1085"/>
      <c r="G56" s="253" t="s">
        <v>225</v>
      </c>
      <c r="H56" s="1085"/>
      <c r="I56" s="1085"/>
      <c r="J56" s="1085"/>
      <c r="K56" s="253" t="s">
        <v>225</v>
      </c>
      <c r="L56" s="1085"/>
      <c r="M56" s="1085"/>
      <c r="N56" s="1085"/>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1205.8700000000001</v>
      </c>
      <c r="G59" s="436">
        <v>14470.44</v>
      </c>
      <c r="H59" s="255">
        <v>1</v>
      </c>
      <c r="I59" s="255">
        <v>12</v>
      </c>
      <c r="J59" s="262">
        <f t="shared" ref="J59:J61" si="6">K59/H59/I59</f>
        <v>1205.8700000000001</v>
      </c>
      <c r="K59" s="436">
        <v>14470.44</v>
      </c>
      <c r="L59" s="255">
        <v>1</v>
      </c>
      <c r="M59" s="255">
        <v>12</v>
      </c>
      <c r="N59" s="262">
        <f t="shared" ref="N59:N61" si="7">O59/L59/M59</f>
        <v>1205.8700000000001</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524.99750000000006</v>
      </c>
      <c r="K60" s="436">
        <v>25199.88</v>
      </c>
      <c r="L60" s="255">
        <v>4</v>
      </c>
      <c r="M60" s="255">
        <v>12</v>
      </c>
      <c r="N60" s="262">
        <f t="shared" si="7"/>
        <v>524.99750000000006</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75.892857142857139</v>
      </c>
      <c r="K61" s="436">
        <v>12750</v>
      </c>
      <c r="L61" s="255">
        <f>35+7</f>
        <v>42</v>
      </c>
      <c r="M61" s="255">
        <v>4</v>
      </c>
      <c r="N61" s="262">
        <f t="shared" si="7"/>
        <v>89.047619047619051</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38" t="s">
        <v>113</v>
      </c>
      <c r="B71" s="1038" t="s">
        <v>2</v>
      </c>
      <c r="C71" s="1038" t="s">
        <v>306</v>
      </c>
      <c r="D71" s="1038" t="s">
        <v>137</v>
      </c>
      <c r="E71" s="1038"/>
      <c r="F71" s="1038"/>
      <c r="G71" s="1038"/>
      <c r="H71" s="1038" t="s">
        <v>138</v>
      </c>
      <c r="I71" s="1038"/>
      <c r="J71" s="1038"/>
      <c r="K71" s="1038"/>
      <c r="L71" s="1038" t="s">
        <v>139</v>
      </c>
      <c r="M71" s="1038"/>
      <c r="N71" s="1038"/>
      <c r="O71" s="1038"/>
    </row>
    <row r="72" spans="1:15" hidden="1">
      <c r="A72" s="1038"/>
      <c r="B72" s="1038"/>
      <c r="C72" s="1038"/>
      <c r="D72" s="1038" t="s">
        <v>307</v>
      </c>
      <c r="E72" s="1038" t="s">
        <v>308</v>
      </c>
      <c r="F72" s="1038" t="s">
        <v>309</v>
      </c>
      <c r="G72" s="30" t="s">
        <v>224</v>
      </c>
      <c r="H72" s="1038" t="s">
        <v>307</v>
      </c>
      <c r="I72" s="1038" t="s">
        <v>308</v>
      </c>
      <c r="J72" s="1038" t="s">
        <v>309</v>
      </c>
      <c r="K72" s="30" t="s">
        <v>224</v>
      </c>
      <c r="L72" s="1038" t="s">
        <v>307</v>
      </c>
      <c r="M72" s="1038" t="s">
        <v>308</v>
      </c>
      <c r="N72" s="1038" t="s">
        <v>309</v>
      </c>
      <c r="O72" s="30" t="s">
        <v>224</v>
      </c>
    </row>
    <row r="73" spans="1:15" ht="36" hidden="1" customHeight="1">
      <c r="A73" s="1038"/>
      <c r="B73" s="1038"/>
      <c r="C73" s="1038"/>
      <c r="D73" s="1038"/>
      <c r="E73" s="1038"/>
      <c r="F73" s="1038"/>
      <c r="G73" s="30" t="s">
        <v>225</v>
      </c>
      <c r="H73" s="1038"/>
      <c r="I73" s="1038"/>
      <c r="J73" s="1038"/>
      <c r="K73" s="30" t="s">
        <v>225</v>
      </c>
      <c r="L73" s="1038"/>
      <c r="M73" s="1038"/>
      <c r="N73" s="1038"/>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38" t="s">
        <v>113</v>
      </c>
      <c r="C7" s="1038" t="s">
        <v>168</v>
      </c>
      <c r="D7" s="1038" t="s">
        <v>137</v>
      </c>
      <c r="E7" s="1038"/>
      <c r="F7" s="1038"/>
      <c r="G7" s="1038" t="s">
        <v>138</v>
      </c>
      <c r="H7" s="1038"/>
      <c r="I7" s="1038"/>
      <c r="J7" s="1038" t="s">
        <v>139</v>
      </c>
      <c r="K7" s="1038"/>
      <c r="L7" s="1038"/>
    </row>
    <row r="8" spans="2:17">
      <c r="B8" s="1038"/>
      <c r="C8" s="1038"/>
      <c r="D8" s="1038" t="s">
        <v>307</v>
      </c>
      <c r="E8" s="30" t="s">
        <v>290</v>
      </c>
      <c r="F8" s="1038" t="s">
        <v>171</v>
      </c>
      <c r="G8" s="1038" t="s">
        <v>307</v>
      </c>
      <c r="H8" s="30" t="s">
        <v>324</v>
      </c>
      <c r="I8" s="1038" t="s">
        <v>171</v>
      </c>
      <c r="J8" s="1038" t="s">
        <v>307</v>
      </c>
      <c r="K8" s="30" t="s">
        <v>290</v>
      </c>
      <c r="L8" s="1038" t="s">
        <v>171</v>
      </c>
    </row>
    <row r="9" spans="2:17">
      <c r="B9" s="1038"/>
      <c r="C9" s="1038"/>
      <c r="D9" s="1038"/>
      <c r="E9" s="30" t="s">
        <v>325</v>
      </c>
      <c r="F9" s="1038"/>
      <c r="G9" s="1038"/>
      <c r="H9" s="30" t="s">
        <v>325</v>
      </c>
      <c r="I9" s="1038"/>
      <c r="J9" s="1038"/>
      <c r="K9" s="30" t="s">
        <v>325</v>
      </c>
      <c r="L9" s="1038"/>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38" t="s">
        <v>113</v>
      </c>
      <c r="C19" s="1038" t="s">
        <v>168</v>
      </c>
      <c r="D19" s="1038" t="s">
        <v>188</v>
      </c>
      <c r="E19" s="1038"/>
      <c r="F19" s="1038"/>
      <c r="G19" s="1038" t="s">
        <v>189</v>
      </c>
      <c r="H19" s="1038"/>
      <c r="I19" s="1038"/>
      <c r="J19" s="1038" t="s">
        <v>190</v>
      </c>
      <c r="K19" s="1038"/>
      <c r="L19" s="1038"/>
    </row>
    <row r="20" spans="2:15">
      <c r="B20" s="1038"/>
      <c r="C20" s="1038"/>
      <c r="D20" s="1107" t="s">
        <v>307</v>
      </c>
      <c r="E20" s="30" t="s">
        <v>324</v>
      </c>
      <c r="F20" s="1038" t="s">
        <v>171</v>
      </c>
      <c r="G20" s="1038" t="s">
        <v>307</v>
      </c>
      <c r="H20" s="30" t="s">
        <v>290</v>
      </c>
      <c r="I20" s="1038" t="s">
        <v>171</v>
      </c>
      <c r="J20" s="1038" t="s">
        <v>307</v>
      </c>
      <c r="K20" s="30" t="s">
        <v>290</v>
      </c>
      <c r="L20" s="1038" t="s">
        <v>171</v>
      </c>
    </row>
    <row r="21" spans="2:15">
      <c r="B21" s="1038"/>
      <c r="C21" s="1038"/>
      <c r="D21" s="1107"/>
      <c r="E21" s="30" t="s">
        <v>331</v>
      </c>
      <c r="F21" s="1038"/>
      <c r="G21" s="1038"/>
      <c r="H21" s="30" t="s">
        <v>325</v>
      </c>
      <c r="I21" s="1038"/>
      <c r="J21" s="1038"/>
      <c r="K21" s="30" t="s">
        <v>325</v>
      </c>
      <c r="L21" s="1038"/>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38" t="s">
        <v>113</v>
      </c>
      <c r="C32" s="1038" t="s">
        <v>168</v>
      </c>
      <c r="D32" s="1038" t="s">
        <v>137</v>
      </c>
      <c r="E32" s="1038"/>
      <c r="F32" s="1038"/>
      <c r="G32" s="1038"/>
      <c r="H32" s="1038" t="s">
        <v>138</v>
      </c>
      <c r="I32" s="1038"/>
      <c r="J32" s="1038"/>
      <c r="K32" s="1038"/>
      <c r="L32" s="1038" t="s">
        <v>139</v>
      </c>
      <c r="M32" s="1038"/>
      <c r="N32" s="1038"/>
      <c r="O32" s="1038"/>
    </row>
    <row r="33" spans="2:15" ht="25.5">
      <c r="B33" s="1038"/>
      <c r="C33" s="1038"/>
      <c r="D33" s="1038" t="s">
        <v>335</v>
      </c>
      <c r="E33" s="30" t="s">
        <v>336</v>
      </c>
      <c r="F33" s="1108" t="s">
        <v>337</v>
      </c>
      <c r="G33" s="1108" t="s">
        <v>171</v>
      </c>
      <c r="H33" s="1108" t="s">
        <v>335</v>
      </c>
      <c r="I33" s="30" t="s">
        <v>336</v>
      </c>
      <c r="J33" s="1038" t="s">
        <v>337</v>
      </c>
      <c r="K33" s="1038" t="s">
        <v>171</v>
      </c>
      <c r="L33" s="1038" t="s">
        <v>335</v>
      </c>
      <c r="M33" s="30" t="s">
        <v>336</v>
      </c>
      <c r="N33" s="1038" t="s">
        <v>337</v>
      </c>
      <c r="O33" s="1038" t="s">
        <v>171</v>
      </c>
    </row>
    <row r="34" spans="2:15">
      <c r="B34" s="1038"/>
      <c r="C34" s="1038"/>
      <c r="D34" s="1038"/>
      <c r="E34" s="30" t="s">
        <v>338</v>
      </c>
      <c r="F34" s="1108"/>
      <c r="G34" s="1108"/>
      <c r="H34" s="1108"/>
      <c r="I34" s="30" t="s">
        <v>338</v>
      </c>
      <c r="J34" s="1038"/>
      <c r="K34" s="1038"/>
      <c r="L34" s="1038"/>
      <c r="M34" s="30" t="s">
        <v>338</v>
      </c>
      <c r="N34" s="1038"/>
      <c r="O34" s="1038"/>
    </row>
    <row r="35" spans="2:15">
      <c r="B35" s="30">
        <v>1</v>
      </c>
      <c r="C35" s="54" t="s">
        <v>339</v>
      </c>
      <c r="D35" s="30">
        <v>1</v>
      </c>
      <c r="E35" s="80">
        <f>G35/F35</f>
        <v>2905</v>
      </c>
      <c r="F35" s="199">
        <v>150</v>
      </c>
      <c r="G35" s="226">
        <v>435750</v>
      </c>
      <c r="H35" s="198">
        <v>1</v>
      </c>
      <c r="I35" s="80">
        <f>K35/J35</f>
        <v>1435.6789333333334</v>
      </c>
      <c r="J35" s="91">
        <v>150</v>
      </c>
      <c r="K35" s="47">
        <v>215351.84</v>
      </c>
      <c r="L35" s="30">
        <v>1</v>
      </c>
      <c r="M35" s="80">
        <f>O35/N35</f>
        <v>1234.9816666666666</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1435.6789333333334</v>
      </c>
      <c r="J36" s="14">
        <f t="shared" si="1"/>
        <v>150</v>
      </c>
      <c r="K36" s="73">
        <f t="shared" si="1"/>
        <v>215351.84</v>
      </c>
      <c r="L36" s="14">
        <f t="shared" si="1"/>
        <v>1</v>
      </c>
      <c r="M36" s="14">
        <f t="shared" si="1"/>
        <v>1234.9816666666666</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38" t="s">
        <v>113</v>
      </c>
      <c r="C42" s="1038" t="s">
        <v>168</v>
      </c>
      <c r="D42" s="1038" t="s">
        <v>137</v>
      </c>
      <c r="E42" s="1038"/>
      <c r="F42" s="1038"/>
      <c r="G42" s="1038"/>
      <c r="H42" s="1038" t="s">
        <v>138</v>
      </c>
      <c r="I42" s="1038"/>
      <c r="J42" s="1038"/>
      <c r="K42" s="1038"/>
      <c r="L42" s="1038" t="s">
        <v>139</v>
      </c>
      <c r="M42" s="1038"/>
      <c r="N42" s="1038"/>
      <c r="O42" s="1038"/>
    </row>
    <row r="43" spans="2:15" ht="25.5">
      <c r="B43" s="1038"/>
      <c r="C43" s="1038"/>
      <c r="D43" s="1038" t="s">
        <v>335</v>
      </c>
      <c r="E43" s="30" t="s">
        <v>336</v>
      </c>
      <c r="F43" s="1038" t="s">
        <v>337</v>
      </c>
      <c r="G43" s="1038" t="s">
        <v>171</v>
      </c>
      <c r="H43" s="1038" t="s">
        <v>335</v>
      </c>
      <c r="I43" s="30" t="s">
        <v>336</v>
      </c>
      <c r="J43" s="1038" t="s">
        <v>337</v>
      </c>
      <c r="K43" s="1038" t="s">
        <v>171</v>
      </c>
      <c r="L43" s="1038" t="s">
        <v>335</v>
      </c>
      <c r="M43" s="30" t="s">
        <v>336</v>
      </c>
      <c r="N43" s="1038" t="s">
        <v>337</v>
      </c>
      <c r="O43" s="1038" t="s">
        <v>171</v>
      </c>
    </row>
    <row r="44" spans="2:15">
      <c r="B44" s="1038"/>
      <c r="C44" s="1038"/>
      <c r="D44" s="1038"/>
      <c r="E44" s="30" t="s">
        <v>338</v>
      </c>
      <c r="F44" s="1038"/>
      <c r="G44" s="1038"/>
      <c r="H44" s="1038"/>
      <c r="I44" s="30" t="s">
        <v>338</v>
      </c>
      <c r="J44" s="1038"/>
      <c r="K44" s="1038"/>
      <c r="L44" s="1038"/>
      <c r="M44" s="30" t="s">
        <v>338</v>
      </c>
      <c r="N44" s="1038"/>
      <c r="O44" s="1038"/>
    </row>
    <row r="45" spans="2:15">
      <c r="B45" s="30">
        <v>1</v>
      </c>
      <c r="C45" s="54" t="s">
        <v>339</v>
      </c>
      <c r="D45" s="30">
        <v>1</v>
      </c>
      <c r="E45" s="80">
        <f>G45/F45</f>
        <v>2387.9806000000003</v>
      </c>
      <c r="F45" s="91">
        <v>150</v>
      </c>
      <c r="G45" s="47">
        <v>358197.09</v>
      </c>
      <c r="H45" s="30">
        <v>1</v>
      </c>
      <c r="I45" s="80">
        <f>K45/J45</f>
        <v>3002.5264000000002</v>
      </c>
      <c r="J45" s="91">
        <v>150</v>
      </c>
      <c r="K45" s="47">
        <v>450378.96</v>
      </c>
      <c r="L45" s="30">
        <v>1</v>
      </c>
      <c r="M45" s="80">
        <f>O45/N45</f>
        <v>3203.2236666666668</v>
      </c>
      <c r="N45" s="91">
        <v>150</v>
      </c>
      <c r="O45" s="47">
        <v>480483.55</v>
      </c>
    </row>
    <row r="46" spans="2:15">
      <c r="B46" s="90"/>
      <c r="C46" s="101" t="s">
        <v>178</v>
      </c>
      <c r="D46" s="14">
        <f>D45</f>
        <v>1</v>
      </c>
      <c r="E46" s="203">
        <f>E45</f>
        <v>2387.9806000000003</v>
      </c>
      <c r="F46" s="102">
        <f t="shared" ref="F46" si="2">F45</f>
        <v>150</v>
      </c>
      <c r="G46" s="131">
        <f>G45</f>
        <v>358197.09</v>
      </c>
      <c r="H46" s="14">
        <f>H45</f>
        <v>1</v>
      </c>
      <c r="I46" s="14">
        <f t="shared" ref="I46:J46" si="3">I45</f>
        <v>3002.5264000000002</v>
      </c>
      <c r="J46" s="14">
        <f t="shared" si="3"/>
        <v>150</v>
      </c>
      <c r="K46" s="73">
        <f>K45</f>
        <v>450378.96</v>
      </c>
      <c r="L46" s="14">
        <f>L45</f>
        <v>1</v>
      </c>
      <c r="M46" s="14">
        <f t="shared" ref="M46:N46" si="4">M45</f>
        <v>3203.2236666666668</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38" t="s">
        <v>113</v>
      </c>
      <c r="C54" s="1038" t="s">
        <v>168</v>
      </c>
      <c r="D54" s="1038" t="s">
        <v>342</v>
      </c>
      <c r="E54" s="1038" t="s">
        <v>137</v>
      </c>
      <c r="F54" s="1038"/>
      <c r="G54" s="1038"/>
      <c r="H54" s="1038" t="s">
        <v>138</v>
      </c>
      <c r="I54" s="1038"/>
      <c r="J54" s="1038"/>
      <c r="K54" s="1038" t="s">
        <v>139</v>
      </c>
      <c r="L54" s="1038"/>
      <c r="M54" s="1038"/>
    </row>
    <row r="55" spans="2:17">
      <c r="B55" s="1038"/>
      <c r="C55" s="1038"/>
      <c r="D55" s="1038"/>
      <c r="E55" s="1038" t="s">
        <v>343</v>
      </c>
      <c r="F55" s="1038" t="s">
        <v>231</v>
      </c>
      <c r="G55" s="1038" t="s">
        <v>171</v>
      </c>
      <c r="H55" s="1038" t="s">
        <v>343</v>
      </c>
      <c r="I55" s="1038" t="s">
        <v>231</v>
      </c>
      <c r="J55" s="1038" t="s">
        <v>171</v>
      </c>
      <c r="K55" s="1038" t="s">
        <v>343</v>
      </c>
      <c r="L55" s="1038" t="s">
        <v>231</v>
      </c>
      <c r="M55" s="1038" t="s">
        <v>171</v>
      </c>
    </row>
    <row r="56" spans="2:17">
      <c r="B56" s="1038"/>
      <c r="C56" s="1038"/>
      <c r="D56" s="1038"/>
      <c r="E56" s="1038"/>
      <c r="F56" s="1038"/>
      <c r="G56" s="1038"/>
      <c r="H56" s="1038"/>
      <c r="I56" s="1038"/>
      <c r="J56" s="1038"/>
      <c r="K56" s="1038"/>
      <c r="L56" s="1038"/>
      <c r="M56" s="1038"/>
    </row>
    <row r="57" spans="2:17" ht="38.25">
      <c r="B57" s="30">
        <v>1</v>
      </c>
      <c r="C57" s="54" t="s">
        <v>344</v>
      </c>
      <c r="D57" s="30" t="s">
        <v>345</v>
      </c>
      <c r="E57" s="30">
        <v>12</v>
      </c>
      <c r="F57" s="47">
        <f t="shared" ref="F57:F66" si="5">G57/E57</f>
        <v>2111.4500000000003</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4347.5999999999995</v>
      </c>
      <c r="G58" s="47">
        <v>52171.199999999997</v>
      </c>
      <c r="H58" s="30">
        <v>12</v>
      </c>
      <c r="I58" s="47">
        <f t="shared" ref="I58:I63" si="6">J58/H58</f>
        <v>4347.5999999999995</v>
      </c>
      <c r="J58" s="47">
        <v>52171.199999999997</v>
      </c>
      <c r="K58" s="30">
        <v>12</v>
      </c>
      <c r="L58" s="47">
        <f t="shared" ref="L58:L63" si="7">M58/K58</f>
        <v>4347.5999999999995</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3951.9669521770161</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4312.6231812577071</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109" t="s">
        <v>113</v>
      </c>
      <c r="C76" s="1109" t="s">
        <v>168</v>
      </c>
      <c r="D76" s="1109" t="s">
        <v>342</v>
      </c>
      <c r="E76" s="1109" t="s">
        <v>137</v>
      </c>
      <c r="F76" s="1109"/>
      <c r="G76" s="1109"/>
      <c r="H76" s="1109" t="s">
        <v>138</v>
      </c>
      <c r="I76" s="1109"/>
      <c r="J76" s="1109"/>
      <c r="K76" s="1109" t="s">
        <v>139</v>
      </c>
      <c r="L76" s="1109"/>
      <c r="M76" s="1109"/>
    </row>
    <row r="77" spans="2:15">
      <c r="B77" s="1109"/>
      <c r="C77" s="1109"/>
      <c r="D77" s="1109"/>
      <c r="E77" s="1109" t="s">
        <v>343</v>
      </c>
      <c r="F77" s="1110" t="s">
        <v>357</v>
      </c>
      <c r="G77" s="1110" t="s">
        <v>171</v>
      </c>
      <c r="H77" s="1110" t="s">
        <v>343</v>
      </c>
      <c r="I77" s="1109" t="s">
        <v>357</v>
      </c>
      <c r="J77" s="1109" t="s">
        <v>171</v>
      </c>
      <c r="K77" s="1109" t="s">
        <v>343</v>
      </c>
      <c r="L77" s="1109" t="s">
        <v>357</v>
      </c>
      <c r="M77" s="1109" t="s">
        <v>171</v>
      </c>
    </row>
    <row r="78" spans="2:15" ht="17.25" customHeight="1">
      <c r="B78" s="1109"/>
      <c r="C78" s="1109"/>
      <c r="D78" s="1109"/>
      <c r="E78" s="1109"/>
      <c r="F78" s="1110"/>
      <c r="G78" s="1110"/>
      <c r="H78" s="1110"/>
      <c r="I78" s="1109"/>
      <c r="J78" s="1109"/>
      <c r="K78" s="1109"/>
      <c r="L78" s="1109"/>
      <c r="M78" s="1109"/>
    </row>
    <row r="79" spans="2:15" ht="38.25">
      <c r="B79" s="384">
        <v>1</v>
      </c>
      <c r="C79" s="386" t="s">
        <v>516</v>
      </c>
      <c r="D79" s="384" t="s">
        <v>321</v>
      </c>
      <c r="E79" s="384">
        <v>22</v>
      </c>
      <c r="F79" s="387">
        <f>G79/E79</f>
        <v>98878.002727272731</v>
      </c>
      <c r="G79" s="387">
        <v>2175316.06</v>
      </c>
      <c r="H79" s="385">
        <v>20</v>
      </c>
      <c r="I79" s="395">
        <f>J79/H79</f>
        <v>108439.36899999999</v>
      </c>
      <c r="J79" s="395">
        <v>2168787.38</v>
      </c>
      <c r="K79" s="384">
        <v>20</v>
      </c>
      <c r="L79" s="395">
        <f>M79/K79</f>
        <v>114725.139</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38" t="s">
        <v>113</v>
      </c>
      <c r="C86" s="1038" t="s">
        <v>168</v>
      </c>
      <c r="D86" s="1038" t="s">
        <v>342</v>
      </c>
      <c r="E86" s="1038" t="s">
        <v>137</v>
      </c>
      <c r="F86" s="1038"/>
      <c r="G86" s="1038"/>
      <c r="H86" s="1038" t="s">
        <v>138</v>
      </c>
      <c r="I86" s="1038"/>
      <c r="J86" s="1038"/>
      <c r="K86" s="1038" t="s">
        <v>139</v>
      </c>
      <c r="L86" s="1038"/>
      <c r="M86" s="1038"/>
    </row>
    <row r="87" spans="2:15" s="93" customFormat="1">
      <c r="B87" s="1038"/>
      <c r="C87" s="1038"/>
      <c r="D87" s="1038"/>
      <c r="E87" s="1038" t="s">
        <v>343</v>
      </c>
      <c r="F87" s="1038" t="s">
        <v>357</v>
      </c>
      <c r="G87" s="1038" t="s">
        <v>171</v>
      </c>
      <c r="H87" s="1038" t="s">
        <v>343</v>
      </c>
      <c r="I87" s="1038" t="s">
        <v>357</v>
      </c>
      <c r="J87" s="1038" t="s">
        <v>171</v>
      </c>
      <c r="K87" s="1038" t="s">
        <v>343</v>
      </c>
      <c r="L87" s="1038" t="s">
        <v>357</v>
      </c>
      <c r="M87" s="1038" t="s">
        <v>171</v>
      </c>
    </row>
    <row r="88" spans="2:15" s="93" customFormat="1">
      <c r="B88" s="1038"/>
      <c r="C88" s="1038"/>
      <c r="D88" s="1038"/>
      <c r="E88" s="1038"/>
      <c r="F88" s="1038"/>
      <c r="G88" s="1038"/>
      <c r="H88" s="1038"/>
      <c r="I88" s="1038"/>
      <c r="J88" s="1038"/>
      <c r="K88" s="1038"/>
      <c r="L88" s="1038"/>
      <c r="M88" s="1038"/>
    </row>
    <row r="89" spans="2:15" s="93" customFormat="1" ht="38.25">
      <c r="B89" s="194">
        <v>1</v>
      </c>
      <c r="C89" s="195" t="s">
        <v>434</v>
      </c>
      <c r="D89" s="194" t="s">
        <v>321</v>
      </c>
      <c r="E89" s="194">
        <v>7</v>
      </c>
      <c r="F89" s="131">
        <f t="shared" ref="F89" si="8">G89/E89</f>
        <v>107142.85714285714</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38" t="s">
        <v>113</v>
      </c>
      <c r="C95" s="1038" t="s">
        <v>168</v>
      </c>
      <c r="D95" s="1038" t="s">
        <v>342</v>
      </c>
      <c r="E95" s="1038" t="s">
        <v>137</v>
      </c>
      <c r="F95" s="1038"/>
      <c r="G95" s="1038"/>
      <c r="H95" s="1038" t="s">
        <v>138</v>
      </c>
      <c r="I95" s="1038"/>
      <c r="J95" s="1038"/>
      <c r="K95" s="1038" t="s">
        <v>139</v>
      </c>
      <c r="L95" s="1038"/>
      <c r="M95" s="1038"/>
    </row>
    <row r="96" spans="2:15" ht="25.5">
      <c r="B96" s="1038"/>
      <c r="C96" s="1038"/>
      <c r="D96" s="1038"/>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2206.9074999999998</v>
      </c>
      <c r="G98" s="47">
        <v>17655.259999999998</v>
      </c>
      <c r="H98" s="30">
        <v>8</v>
      </c>
      <c r="I98" s="47">
        <f>J98/H98</f>
        <v>2206.9074999999998</v>
      </c>
      <c r="J98" s="47">
        <v>17655.259999999998</v>
      </c>
      <c r="K98" s="30">
        <v>8</v>
      </c>
      <c r="L98" s="47">
        <f>M98/K98</f>
        <v>2206.9074999999998</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4145.2141818181817</v>
      </c>
      <c r="G100" s="222">
        <f>615839.48-60000+70438.2-170304.12</f>
        <v>455973.55999999994</v>
      </c>
      <c r="H100" s="30">
        <v>200</v>
      </c>
      <c r="I100" s="47">
        <f>J100/H100</f>
        <v>6441.1751000000004</v>
      </c>
      <c r="J100" s="47">
        <v>1288235.02</v>
      </c>
      <c r="K100" s="30">
        <v>200</v>
      </c>
      <c r="L100" s="47">
        <f>M100/K100</f>
        <v>6449.4056499999997</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140621.84000000003</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2675018.4699999997</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38" t="s">
        <v>113</v>
      </c>
      <c r="C122" s="1038" t="s">
        <v>168</v>
      </c>
      <c r="D122" s="1038" t="s">
        <v>342</v>
      </c>
      <c r="E122" s="1038" t="s">
        <v>137</v>
      </c>
      <c r="F122" s="1038"/>
      <c r="G122" s="1038"/>
      <c r="H122" s="1038" t="s">
        <v>138</v>
      </c>
      <c r="I122" s="1038"/>
      <c r="J122" s="1038"/>
      <c r="K122" s="1038" t="s">
        <v>139</v>
      </c>
      <c r="L122" s="1038"/>
      <c r="M122" s="1038"/>
    </row>
    <row r="123" spans="2:17">
      <c r="B123" s="1038"/>
      <c r="C123" s="1038"/>
      <c r="D123" s="1038"/>
      <c r="E123" s="1038" t="s">
        <v>343</v>
      </c>
      <c r="F123" s="1038" t="s">
        <v>231</v>
      </c>
      <c r="G123" s="1038" t="s">
        <v>171</v>
      </c>
      <c r="H123" s="1038" t="s">
        <v>343</v>
      </c>
      <c r="I123" s="30" t="s">
        <v>290</v>
      </c>
      <c r="J123" s="1038" t="s">
        <v>171</v>
      </c>
      <c r="K123" s="1038" t="s">
        <v>343</v>
      </c>
      <c r="L123" s="30" t="s">
        <v>290</v>
      </c>
      <c r="M123" s="1038" t="s">
        <v>171</v>
      </c>
    </row>
    <row r="124" spans="2:17">
      <c r="B124" s="1038"/>
      <c r="C124" s="1038"/>
      <c r="D124" s="1038"/>
      <c r="E124" s="1038"/>
      <c r="F124" s="1038"/>
      <c r="G124" s="1038"/>
      <c r="H124" s="1038"/>
      <c r="I124" s="30" t="s">
        <v>358</v>
      </c>
      <c r="J124" s="1038"/>
      <c r="K124" s="1038"/>
      <c r="L124" s="30" t="s">
        <v>358</v>
      </c>
      <c r="M124" s="1038"/>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38" t="s">
        <v>113</v>
      </c>
      <c r="C131" s="1038" t="s">
        <v>168</v>
      </c>
      <c r="D131" s="1038" t="s">
        <v>364</v>
      </c>
      <c r="E131" s="1038" t="s">
        <v>198</v>
      </c>
      <c r="F131" s="1038"/>
      <c r="G131" s="1038"/>
      <c r="H131" s="1038" t="s">
        <v>199</v>
      </c>
      <c r="I131" s="1038"/>
      <c r="J131" s="1038"/>
      <c r="K131" s="1038" t="s">
        <v>200</v>
      </c>
      <c r="L131" s="1038"/>
      <c r="M131" s="1038"/>
    </row>
    <row r="132" spans="2:13">
      <c r="B132" s="1038"/>
      <c r="C132" s="1038"/>
      <c r="D132" s="1038"/>
      <c r="E132" s="1038" t="s">
        <v>343</v>
      </c>
      <c r="F132" s="1038" t="s">
        <v>231</v>
      </c>
      <c r="G132" s="1038" t="s">
        <v>171</v>
      </c>
      <c r="H132" s="1038" t="s">
        <v>343</v>
      </c>
      <c r="I132" s="30" t="s">
        <v>290</v>
      </c>
      <c r="J132" s="1038" t="s">
        <v>171</v>
      </c>
      <c r="K132" s="1038" t="s">
        <v>343</v>
      </c>
      <c r="L132" s="30" t="s">
        <v>290</v>
      </c>
      <c r="M132" s="1038" t="s">
        <v>171</v>
      </c>
    </row>
    <row r="133" spans="2:13">
      <c r="B133" s="1038"/>
      <c r="C133" s="1038"/>
      <c r="D133" s="1038"/>
      <c r="E133" s="1038"/>
      <c r="F133" s="1038"/>
      <c r="G133" s="1038"/>
      <c r="H133" s="1038"/>
      <c r="I133" s="30" t="s">
        <v>358</v>
      </c>
      <c r="J133" s="1038"/>
      <c r="K133" s="1038"/>
      <c r="L133" s="30" t="s">
        <v>358</v>
      </c>
      <c r="M133" s="1038"/>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38" t="s">
        <v>113</v>
      </c>
      <c r="C140" s="1038" t="s">
        <v>168</v>
      </c>
      <c r="D140" s="1038" t="s">
        <v>364</v>
      </c>
      <c r="E140" s="1038" t="s">
        <v>198</v>
      </c>
      <c r="F140" s="1038"/>
      <c r="G140" s="1038"/>
      <c r="H140" s="1038" t="s">
        <v>199</v>
      </c>
      <c r="I140" s="1038"/>
      <c r="J140" s="1038"/>
      <c r="K140" s="1038" t="s">
        <v>200</v>
      </c>
      <c r="L140" s="1038"/>
      <c r="M140" s="1038"/>
    </row>
    <row r="141" spans="2:13">
      <c r="B141" s="1038"/>
      <c r="C141" s="1038"/>
      <c r="D141" s="1038"/>
      <c r="E141" s="1038" t="s">
        <v>343</v>
      </c>
      <c r="F141" s="1038" t="s">
        <v>231</v>
      </c>
      <c r="G141" s="1038" t="s">
        <v>171</v>
      </c>
      <c r="H141" s="1038" t="s">
        <v>343</v>
      </c>
      <c r="I141" s="30" t="s">
        <v>290</v>
      </c>
      <c r="J141" s="1038" t="s">
        <v>171</v>
      </c>
      <c r="K141" s="1038" t="s">
        <v>343</v>
      </c>
      <c r="L141" s="30" t="s">
        <v>324</v>
      </c>
      <c r="M141" s="1038" t="s">
        <v>171</v>
      </c>
    </row>
    <row r="142" spans="2:13">
      <c r="B142" s="1038"/>
      <c r="C142" s="1038"/>
      <c r="D142" s="1038"/>
      <c r="E142" s="1038"/>
      <c r="F142" s="1038"/>
      <c r="G142" s="1038"/>
      <c r="H142" s="1038"/>
      <c r="I142" s="30" t="s">
        <v>358</v>
      </c>
      <c r="J142" s="1038"/>
      <c r="K142" s="1038"/>
      <c r="L142" s="30" t="s">
        <v>366</v>
      </c>
      <c r="M142" s="1038"/>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38" t="s">
        <v>113</v>
      </c>
      <c r="C147" s="1038" t="s">
        <v>168</v>
      </c>
      <c r="D147" s="1038" t="s">
        <v>342</v>
      </c>
      <c r="E147" s="1038" t="s">
        <v>137</v>
      </c>
      <c r="F147" s="1038"/>
      <c r="G147" s="1038"/>
      <c r="H147" s="1038" t="s">
        <v>138</v>
      </c>
      <c r="I147" s="1038"/>
      <c r="J147" s="1038"/>
      <c r="K147" s="1038" t="s">
        <v>139</v>
      </c>
      <c r="L147" s="1038"/>
      <c r="M147" s="1038"/>
      <c r="N147" s="7"/>
      <c r="O147" s="7"/>
    </row>
    <row r="148" spans="2:15">
      <c r="B148" s="1038"/>
      <c r="C148" s="1038"/>
      <c r="D148" s="1038"/>
      <c r="E148" s="1038" t="s">
        <v>343</v>
      </c>
      <c r="F148" s="1038" t="s">
        <v>231</v>
      </c>
      <c r="G148" s="1038" t="s">
        <v>171</v>
      </c>
      <c r="H148" s="1038" t="s">
        <v>343</v>
      </c>
      <c r="I148" s="30" t="s">
        <v>290</v>
      </c>
      <c r="J148" s="1038" t="s">
        <v>171</v>
      </c>
      <c r="K148" s="1038" t="s">
        <v>343</v>
      </c>
      <c r="L148" s="30" t="s">
        <v>290</v>
      </c>
      <c r="M148" s="1038" t="s">
        <v>171</v>
      </c>
    </row>
    <row r="149" spans="2:15">
      <c r="B149" s="1038"/>
      <c r="C149" s="1038"/>
      <c r="D149" s="1038"/>
      <c r="E149" s="1038"/>
      <c r="F149" s="1038"/>
      <c r="G149" s="1038"/>
      <c r="H149" s="1038"/>
      <c r="I149" s="30" t="s">
        <v>358</v>
      </c>
      <c r="J149" s="1038"/>
      <c r="K149" s="1038"/>
      <c r="L149" s="30" t="s">
        <v>358</v>
      </c>
      <c r="M149" s="1038"/>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67" t="s">
        <v>113</v>
      </c>
      <c r="C161" s="1067" t="s">
        <v>168</v>
      </c>
      <c r="D161" s="1067" t="s">
        <v>364</v>
      </c>
      <c r="E161" s="1068" t="s">
        <v>457</v>
      </c>
      <c r="F161" s="1081"/>
      <c r="G161" s="1069"/>
      <c r="H161" s="1068" t="s">
        <v>458</v>
      </c>
      <c r="I161" s="1081"/>
      <c r="J161" s="1069"/>
      <c r="K161" s="1068" t="s">
        <v>459</v>
      </c>
      <c r="L161" s="1081"/>
      <c r="M161" s="1069"/>
    </row>
    <row r="162" spans="2:16">
      <c r="B162" s="1067"/>
      <c r="C162" s="1067"/>
      <c r="D162" s="1067"/>
      <c r="E162" s="1067" t="s">
        <v>343</v>
      </c>
      <c r="F162" s="1111" t="s">
        <v>231</v>
      </c>
      <c r="G162" s="1111" t="s">
        <v>171</v>
      </c>
      <c r="H162" s="1111" t="s">
        <v>343</v>
      </c>
      <c r="I162" s="1111" t="s">
        <v>231</v>
      </c>
      <c r="J162" s="1067" t="s">
        <v>171</v>
      </c>
      <c r="K162" s="1067" t="s">
        <v>343</v>
      </c>
      <c r="L162" s="1111" t="s">
        <v>231</v>
      </c>
      <c r="M162" s="1067" t="s">
        <v>171</v>
      </c>
    </row>
    <row r="163" spans="2:16">
      <c r="B163" s="1067"/>
      <c r="C163" s="1067"/>
      <c r="D163" s="1067"/>
      <c r="E163" s="1067"/>
      <c r="F163" s="1111"/>
      <c r="G163" s="1111"/>
      <c r="H163" s="1111"/>
      <c r="I163" s="1111"/>
      <c r="J163" s="1067"/>
      <c r="K163" s="1067"/>
      <c r="L163" s="1111"/>
      <c r="M163" s="1067"/>
    </row>
    <row r="164" spans="2:16" ht="51.75" thickBot="1">
      <c r="B164" s="579" t="s">
        <v>143</v>
      </c>
      <c r="C164" s="580" t="s">
        <v>575</v>
      </c>
      <c r="D164" s="581" t="s">
        <v>18</v>
      </c>
      <c r="E164" s="581" t="s">
        <v>18</v>
      </c>
      <c r="F164" s="582" t="s">
        <v>18</v>
      </c>
      <c r="G164" s="583">
        <f>G165+G173</f>
        <v>44468.990000000005</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44069.990000000005</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94073.989999999991</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341.99999999999994</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44468.990000000005</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38" t="s">
        <v>113</v>
      </c>
      <c r="C262" s="1109" t="s">
        <v>168</v>
      </c>
      <c r="D262" s="1109" t="s">
        <v>364</v>
      </c>
      <c r="E262" s="1112" t="s">
        <v>457</v>
      </c>
      <c r="F262" s="1113"/>
      <c r="G262" s="1114"/>
      <c r="H262" s="1112" t="s">
        <v>458</v>
      </c>
      <c r="I262" s="1113"/>
      <c r="J262" s="1114"/>
      <c r="K262" s="1112" t="s">
        <v>459</v>
      </c>
      <c r="L262" s="1113"/>
      <c r="M262" s="1114"/>
    </row>
    <row r="263" spans="2:13">
      <c r="B263" s="1038"/>
      <c r="C263" s="1109"/>
      <c r="D263" s="1109"/>
      <c r="E263" s="1109" t="s">
        <v>343</v>
      </c>
      <c r="F263" s="1109" t="s">
        <v>231</v>
      </c>
      <c r="G263" s="1109" t="s">
        <v>171</v>
      </c>
      <c r="H263" s="1109" t="s">
        <v>343</v>
      </c>
      <c r="I263" s="384" t="s">
        <v>290</v>
      </c>
      <c r="J263" s="1109" t="s">
        <v>171</v>
      </c>
      <c r="K263" s="1109" t="s">
        <v>343</v>
      </c>
      <c r="L263" s="384" t="s">
        <v>290</v>
      </c>
      <c r="M263" s="1109" t="s">
        <v>171</v>
      </c>
    </row>
    <row r="264" spans="2:13">
      <c r="B264" s="1038"/>
      <c r="C264" s="1109"/>
      <c r="D264" s="1109"/>
      <c r="E264" s="1109"/>
      <c r="F264" s="1109"/>
      <c r="G264" s="1109"/>
      <c r="H264" s="1109"/>
      <c r="I264" s="384" t="s">
        <v>358</v>
      </c>
      <c r="J264" s="1109"/>
      <c r="K264" s="1109"/>
      <c r="L264" s="384" t="s">
        <v>358</v>
      </c>
      <c r="M264" s="1109"/>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109" t="s">
        <v>113</v>
      </c>
      <c r="C274" s="1109" t="s">
        <v>168</v>
      </c>
      <c r="D274" s="1109" t="s">
        <v>364</v>
      </c>
      <c r="E274" s="1112" t="s">
        <v>457</v>
      </c>
      <c r="F274" s="1113"/>
      <c r="G274" s="1114"/>
      <c r="H274" s="1112" t="s">
        <v>458</v>
      </c>
      <c r="I274" s="1113"/>
      <c r="J274" s="1114"/>
      <c r="K274" s="1112" t="s">
        <v>459</v>
      </c>
      <c r="L274" s="1113"/>
      <c r="M274" s="1114"/>
    </row>
    <row r="275" spans="2:17" s="93" customFormat="1">
      <c r="B275" s="1109"/>
      <c r="C275" s="1109"/>
      <c r="D275" s="1109"/>
      <c r="E275" s="1109" t="s">
        <v>343</v>
      </c>
      <c r="F275" s="1109" t="s">
        <v>231</v>
      </c>
      <c r="G275" s="1109" t="s">
        <v>171</v>
      </c>
      <c r="H275" s="1109" t="s">
        <v>343</v>
      </c>
      <c r="I275" s="384" t="s">
        <v>290</v>
      </c>
      <c r="J275" s="1109" t="s">
        <v>171</v>
      </c>
      <c r="K275" s="1109" t="s">
        <v>343</v>
      </c>
      <c r="L275" s="384" t="s">
        <v>290</v>
      </c>
      <c r="M275" s="1109" t="s">
        <v>171</v>
      </c>
    </row>
    <row r="276" spans="2:17" s="93" customFormat="1">
      <c r="B276" s="1109"/>
      <c r="C276" s="1109"/>
      <c r="D276" s="1109"/>
      <c r="E276" s="1109"/>
      <c r="F276" s="1109"/>
      <c r="G276" s="1109"/>
      <c r="H276" s="1109"/>
      <c r="I276" s="384" t="s">
        <v>358</v>
      </c>
      <c r="J276" s="1109"/>
      <c r="K276" s="1109"/>
      <c r="L276" s="384" t="s">
        <v>358</v>
      </c>
      <c r="M276" s="1109"/>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498267.08999999997</v>
      </c>
      <c r="K279" s="410" t="s">
        <v>18</v>
      </c>
      <c r="L279" s="410" t="s">
        <v>18</v>
      </c>
      <c r="M279" s="422">
        <f>SUM(M277:M278)</f>
        <v>498202.14999999997</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38" t="s">
        <v>113</v>
      </c>
      <c r="C286" s="1038" t="s">
        <v>168</v>
      </c>
      <c r="D286" s="1038" t="s">
        <v>364</v>
      </c>
      <c r="E286" s="1038" t="s">
        <v>137</v>
      </c>
      <c r="F286" s="1038"/>
      <c r="G286" s="1038"/>
      <c r="H286" s="1038" t="s">
        <v>138</v>
      </c>
      <c r="I286" s="1038"/>
      <c r="J286" s="1038"/>
      <c r="K286" s="1038" t="s">
        <v>139</v>
      </c>
      <c r="L286" s="1038"/>
      <c r="M286" s="1038"/>
    </row>
    <row r="287" spans="2:17">
      <c r="B287" s="1038"/>
      <c r="C287" s="1038"/>
      <c r="D287" s="1038"/>
      <c r="E287" s="1038" t="s">
        <v>343</v>
      </c>
      <c r="F287" s="1038" t="s">
        <v>231</v>
      </c>
      <c r="G287" s="1038" t="s">
        <v>171</v>
      </c>
      <c r="H287" s="1038" t="s">
        <v>343</v>
      </c>
      <c r="I287" s="30" t="s">
        <v>290</v>
      </c>
      <c r="J287" s="1038" t="s">
        <v>171</v>
      </c>
      <c r="K287" s="1038" t="s">
        <v>343</v>
      </c>
      <c r="L287" s="30" t="s">
        <v>290</v>
      </c>
      <c r="M287" s="1038" t="s">
        <v>171</v>
      </c>
    </row>
    <row r="288" spans="2:17" s="87" customFormat="1">
      <c r="B288" s="1038"/>
      <c r="C288" s="1038"/>
      <c r="D288" s="1038"/>
      <c r="E288" s="1038"/>
      <c r="F288" s="1038"/>
      <c r="G288" s="1038"/>
      <c r="H288" s="1038"/>
      <c r="I288" s="30" t="s">
        <v>358</v>
      </c>
      <c r="J288" s="1038"/>
      <c r="K288" s="1038"/>
      <c r="L288" s="30" t="s">
        <v>358</v>
      </c>
      <c r="M288" s="1038"/>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38" t="s">
        <v>113</v>
      </c>
      <c r="C296" s="1038" t="s">
        <v>168</v>
      </c>
      <c r="D296" s="1038" t="s">
        <v>342</v>
      </c>
      <c r="E296" s="1038" t="s">
        <v>137</v>
      </c>
      <c r="F296" s="1038"/>
      <c r="G296" s="1038"/>
      <c r="H296" s="1038" t="s">
        <v>138</v>
      </c>
      <c r="I296" s="1038"/>
      <c r="J296" s="1038"/>
      <c r="K296" s="1038" t="s">
        <v>139</v>
      </c>
      <c r="L296" s="1038"/>
      <c r="M296" s="1038"/>
    </row>
    <row r="297" spans="2:17">
      <c r="B297" s="1038"/>
      <c r="C297" s="1038"/>
      <c r="D297" s="1038"/>
      <c r="E297" s="1038" t="s">
        <v>343</v>
      </c>
      <c r="F297" s="1038" t="s">
        <v>231</v>
      </c>
      <c r="G297" s="1038" t="s">
        <v>171</v>
      </c>
      <c r="H297" s="1038" t="s">
        <v>343</v>
      </c>
      <c r="I297" s="30" t="s">
        <v>290</v>
      </c>
      <c r="J297" s="1038" t="s">
        <v>171</v>
      </c>
      <c r="K297" s="1038" t="s">
        <v>343</v>
      </c>
      <c r="L297" s="30" t="s">
        <v>290</v>
      </c>
      <c r="M297" s="1038" t="s">
        <v>171</v>
      </c>
    </row>
    <row r="298" spans="2:17">
      <c r="B298" s="1038"/>
      <c r="C298" s="1038"/>
      <c r="D298" s="1038"/>
      <c r="E298" s="1038"/>
      <c r="F298" s="1038"/>
      <c r="G298" s="1038"/>
      <c r="H298" s="1038"/>
      <c r="I298" s="30" t="s">
        <v>358</v>
      </c>
      <c r="J298" s="1038"/>
      <c r="K298" s="1038"/>
      <c r="L298" s="30" t="s">
        <v>358</v>
      </c>
      <c r="M298" s="1038"/>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38" t="s">
        <v>113</v>
      </c>
      <c r="C307" s="1038" t="s">
        <v>168</v>
      </c>
      <c r="D307" s="1038" t="s">
        <v>364</v>
      </c>
      <c r="E307" s="1038" t="s">
        <v>137</v>
      </c>
      <c r="F307" s="1038"/>
      <c r="G307" s="1038"/>
      <c r="H307" s="1038" t="s">
        <v>138</v>
      </c>
      <c r="I307" s="1038"/>
      <c r="J307" s="1038"/>
      <c r="K307" s="1038" t="s">
        <v>139</v>
      </c>
      <c r="L307" s="1038"/>
      <c r="M307" s="1038"/>
    </row>
    <row r="308" spans="2:17">
      <c r="B308" s="1038"/>
      <c r="C308" s="1038"/>
      <c r="D308" s="1038"/>
      <c r="E308" s="1038" t="s">
        <v>343</v>
      </c>
      <c r="F308" s="1108" t="s">
        <v>231</v>
      </c>
      <c r="G308" s="1108" t="s">
        <v>171</v>
      </c>
      <c r="H308" s="1108" t="s">
        <v>343</v>
      </c>
      <c r="I308" s="30" t="s">
        <v>290</v>
      </c>
      <c r="J308" s="1038" t="s">
        <v>171</v>
      </c>
      <c r="K308" s="1038" t="s">
        <v>343</v>
      </c>
      <c r="L308" s="30" t="s">
        <v>290</v>
      </c>
      <c r="M308" s="1038" t="s">
        <v>171</v>
      </c>
    </row>
    <row r="309" spans="2:17">
      <c r="B309" s="1038"/>
      <c r="C309" s="1038"/>
      <c r="D309" s="1038"/>
      <c r="E309" s="1038"/>
      <c r="F309" s="1108"/>
      <c r="G309" s="1108"/>
      <c r="H309" s="1108"/>
      <c r="I309" s="30" t="s">
        <v>358</v>
      </c>
      <c r="J309" s="1038"/>
      <c r="K309" s="1038"/>
      <c r="L309" s="30" t="s">
        <v>358</v>
      </c>
      <c r="M309" s="1038"/>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38" t="s">
        <v>113</v>
      </c>
      <c r="C317" s="1038" t="s">
        <v>168</v>
      </c>
      <c r="D317" s="1038" t="s">
        <v>364</v>
      </c>
      <c r="E317" s="1038" t="s">
        <v>137</v>
      </c>
      <c r="F317" s="1038"/>
      <c r="G317" s="1038"/>
      <c r="H317" s="1038" t="s">
        <v>138</v>
      </c>
      <c r="I317" s="1038"/>
      <c r="J317" s="1038"/>
      <c r="K317" s="1038" t="s">
        <v>139</v>
      </c>
      <c r="L317" s="1038"/>
      <c r="M317" s="1038"/>
    </row>
    <row r="318" spans="2:17">
      <c r="B318" s="1038"/>
      <c r="C318" s="1038"/>
      <c r="D318" s="1038"/>
      <c r="E318" s="1038" t="s">
        <v>343</v>
      </c>
      <c r="F318" s="1038" t="s">
        <v>231</v>
      </c>
      <c r="G318" s="1038" t="s">
        <v>171</v>
      </c>
      <c r="H318" s="1038" t="s">
        <v>343</v>
      </c>
      <c r="I318" s="30" t="s">
        <v>290</v>
      </c>
      <c r="J318" s="1038" t="s">
        <v>171</v>
      </c>
      <c r="K318" s="1038" t="s">
        <v>343</v>
      </c>
      <c r="L318" s="30" t="s">
        <v>290</v>
      </c>
      <c r="M318" s="1038" t="s">
        <v>171</v>
      </c>
    </row>
    <row r="319" spans="2:17">
      <c r="B319" s="1038"/>
      <c r="C319" s="1038"/>
      <c r="D319" s="1038"/>
      <c r="E319" s="1038"/>
      <c r="F319" s="1038"/>
      <c r="G319" s="1038"/>
      <c r="H319" s="1038"/>
      <c r="I319" s="30" t="s">
        <v>358</v>
      </c>
      <c r="J319" s="1038"/>
      <c r="K319" s="1038"/>
      <c r="L319" s="30" t="s">
        <v>358</v>
      </c>
      <c r="M319" s="1038"/>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38" t="s">
        <v>113</v>
      </c>
      <c r="C327" s="1038" t="s">
        <v>168</v>
      </c>
      <c r="D327" s="1038" t="s">
        <v>364</v>
      </c>
      <c r="E327" s="1038" t="s">
        <v>137</v>
      </c>
      <c r="F327" s="1038"/>
      <c r="G327" s="1038"/>
      <c r="H327" s="1038" t="s">
        <v>138</v>
      </c>
      <c r="I327" s="1038"/>
      <c r="J327" s="1038"/>
      <c r="K327" s="1038" t="s">
        <v>139</v>
      </c>
      <c r="L327" s="1038"/>
      <c r="M327" s="1038"/>
    </row>
    <row r="328" spans="2:17">
      <c r="B328" s="1038"/>
      <c r="C328" s="1038"/>
      <c r="D328" s="1038"/>
      <c r="E328" s="1038" t="s">
        <v>343</v>
      </c>
      <c r="F328" s="1108" t="s">
        <v>231</v>
      </c>
      <c r="G328" s="1108" t="s">
        <v>171</v>
      </c>
      <c r="H328" s="1108" t="s">
        <v>343</v>
      </c>
      <c r="I328" s="30" t="s">
        <v>290</v>
      </c>
      <c r="J328" s="1038" t="s">
        <v>171</v>
      </c>
      <c r="K328" s="1038" t="s">
        <v>343</v>
      </c>
      <c r="L328" s="30" t="s">
        <v>290</v>
      </c>
      <c r="M328" s="1038" t="s">
        <v>171</v>
      </c>
    </row>
    <row r="329" spans="2:17">
      <c r="B329" s="1038"/>
      <c r="C329" s="1038"/>
      <c r="D329" s="1038"/>
      <c r="E329" s="1038"/>
      <c r="F329" s="1108"/>
      <c r="G329" s="1108"/>
      <c r="H329" s="1108"/>
      <c r="I329" s="30" t="s">
        <v>358</v>
      </c>
      <c r="J329" s="1038"/>
      <c r="K329" s="1038"/>
      <c r="L329" s="30" t="s">
        <v>358</v>
      </c>
      <c r="M329" s="1038"/>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38" t="s">
        <v>113</v>
      </c>
      <c r="C337" s="1038" t="s">
        <v>168</v>
      </c>
      <c r="D337" s="1038" t="s">
        <v>364</v>
      </c>
      <c r="E337" s="1038" t="s">
        <v>137</v>
      </c>
      <c r="F337" s="1038"/>
      <c r="G337" s="1038"/>
      <c r="H337" s="1038" t="s">
        <v>138</v>
      </c>
      <c r="I337" s="1038"/>
      <c r="J337" s="1038"/>
      <c r="K337" s="1038" t="s">
        <v>139</v>
      </c>
      <c r="L337" s="1038"/>
      <c r="M337" s="1038"/>
    </row>
    <row r="338" spans="2:17">
      <c r="B338" s="1038"/>
      <c r="C338" s="1038"/>
      <c r="D338" s="1038"/>
      <c r="E338" s="1038" t="s">
        <v>343</v>
      </c>
      <c r="F338" s="1038" t="s">
        <v>231</v>
      </c>
      <c r="G338" s="1038" t="s">
        <v>171</v>
      </c>
      <c r="H338" s="1038" t="s">
        <v>343</v>
      </c>
      <c r="I338" s="30" t="s">
        <v>290</v>
      </c>
      <c r="J338" s="1038" t="s">
        <v>171</v>
      </c>
      <c r="K338" s="1038" t="s">
        <v>343</v>
      </c>
      <c r="L338" s="30" t="s">
        <v>290</v>
      </c>
      <c r="M338" s="1038" t="s">
        <v>171</v>
      </c>
    </row>
    <row r="339" spans="2:17">
      <c r="B339" s="1038"/>
      <c r="C339" s="1038"/>
      <c r="D339" s="1038"/>
      <c r="E339" s="1038"/>
      <c r="F339" s="1038"/>
      <c r="G339" s="1038"/>
      <c r="H339" s="1038"/>
      <c r="I339" s="30" t="s">
        <v>358</v>
      </c>
      <c r="J339" s="1038"/>
      <c r="K339" s="1038"/>
      <c r="L339" s="30" t="s">
        <v>358</v>
      </c>
      <c r="M339" s="1038"/>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82" t="s">
        <v>113</v>
      </c>
      <c r="C351" s="1082" t="s">
        <v>168</v>
      </c>
      <c r="D351" s="1082" t="s">
        <v>364</v>
      </c>
      <c r="E351" s="1082" t="s">
        <v>457</v>
      </c>
      <c r="F351" s="1082"/>
      <c r="G351" s="1082"/>
      <c r="H351" s="1082" t="s">
        <v>458</v>
      </c>
      <c r="I351" s="1082"/>
      <c r="J351" s="1082"/>
      <c r="K351" s="1082" t="s">
        <v>459</v>
      </c>
      <c r="L351" s="1082"/>
      <c r="M351" s="1082"/>
    </row>
    <row r="352" spans="2:17">
      <c r="B352" s="1082"/>
      <c r="C352" s="1082"/>
      <c r="D352" s="1082"/>
      <c r="E352" s="1082" t="s">
        <v>343</v>
      </c>
      <c r="F352" s="1082" t="s">
        <v>231</v>
      </c>
      <c r="G352" s="1082" t="s">
        <v>171</v>
      </c>
      <c r="H352" s="1082" t="s">
        <v>343</v>
      </c>
      <c r="I352" s="529" t="s">
        <v>290</v>
      </c>
      <c r="J352" s="1082" t="s">
        <v>171</v>
      </c>
      <c r="K352" s="1082" t="s">
        <v>343</v>
      </c>
      <c r="L352" s="529" t="s">
        <v>290</v>
      </c>
      <c r="M352" s="1082" t="s">
        <v>171</v>
      </c>
    </row>
    <row r="353" spans="2:13">
      <c r="B353" s="1082"/>
      <c r="C353" s="1082"/>
      <c r="D353" s="1082"/>
      <c r="E353" s="1082"/>
      <c r="F353" s="1082"/>
      <c r="G353" s="1082"/>
      <c r="H353" s="1082"/>
      <c r="I353" s="529" t="s">
        <v>358</v>
      </c>
      <c r="J353" s="1082"/>
      <c r="K353" s="1082"/>
      <c r="L353" s="529" t="s">
        <v>358</v>
      </c>
      <c r="M353" s="1082"/>
    </row>
    <row r="354" spans="2:13" ht="25.5">
      <c r="B354" s="529">
        <v>1</v>
      </c>
      <c r="C354" s="261" t="s">
        <v>548</v>
      </c>
      <c r="D354" s="263" t="s">
        <v>389</v>
      </c>
      <c r="E354" s="263">
        <v>10</v>
      </c>
      <c r="F354" s="265">
        <f t="shared" si="16"/>
        <v>7903.2050000000045</v>
      </c>
      <c r="G354" s="265">
        <f>813930-G355-G356-G357-G358-G359</f>
        <v>79032.050000000047</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38" t="s">
        <v>113</v>
      </c>
      <c r="C370" s="1038" t="s">
        <v>168</v>
      </c>
      <c r="D370" s="1038" t="s">
        <v>364</v>
      </c>
      <c r="E370" s="1038" t="s">
        <v>137</v>
      </c>
      <c r="F370" s="1038"/>
      <c r="G370" s="1038"/>
      <c r="H370" s="1038" t="s">
        <v>138</v>
      </c>
      <c r="I370" s="1038"/>
      <c r="J370" s="1038"/>
      <c r="K370" s="1038" t="s">
        <v>139</v>
      </c>
      <c r="L370" s="1038"/>
      <c r="M370" s="1038"/>
    </row>
    <row r="371" spans="2:13">
      <c r="B371" s="1038"/>
      <c r="C371" s="1038"/>
      <c r="D371" s="1038"/>
      <c r="E371" s="1038" t="s">
        <v>343</v>
      </c>
      <c r="F371" s="1038" t="s">
        <v>231</v>
      </c>
      <c r="G371" s="1038" t="s">
        <v>171</v>
      </c>
      <c r="H371" s="1038" t="s">
        <v>343</v>
      </c>
      <c r="I371" s="30" t="s">
        <v>290</v>
      </c>
      <c r="J371" s="1038" t="s">
        <v>171</v>
      </c>
      <c r="K371" s="1038" t="s">
        <v>343</v>
      </c>
      <c r="L371" s="30" t="s">
        <v>290</v>
      </c>
      <c r="M371" s="1038" t="s">
        <v>171</v>
      </c>
    </row>
    <row r="372" spans="2:13">
      <c r="B372" s="1038"/>
      <c r="C372" s="1038"/>
      <c r="D372" s="1038"/>
      <c r="E372" s="1038"/>
      <c r="F372" s="1038"/>
      <c r="G372" s="1038"/>
      <c r="H372" s="1038"/>
      <c r="I372" s="30" t="s">
        <v>358</v>
      </c>
      <c r="J372" s="1038"/>
      <c r="K372" s="1038"/>
      <c r="L372" s="30" t="s">
        <v>358</v>
      </c>
      <c r="M372" s="1038"/>
    </row>
    <row r="373" spans="2:13" ht="25.5">
      <c r="B373" s="248">
        <v>1</v>
      </c>
      <c r="C373" s="267" t="s">
        <v>534</v>
      </c>
      <c r="D373" s="268" t="s">
        <v>375</v>
      </c>
      <c r="E373" s="268">
        <v>1541</v>
      </c>
      <c r="F373" s="269">
        <f t="shared" si="16"/>
        <v>41.582089552238806</v>
      </c>
      <c r="G373" s="266">
        <v>64078</v>
      </c>
      <c r="H373" s="268">
        <v>1541</v>
      </c>
      <c r="I373" s="269">
        <f t="shared" ref="I373:I380" si="17">J373/H373</f>
        <v>41.582089552238806</v>
      </c>
      <c r="J373" s="270">
        <v>64078</v>
      </c>
      <c r="K373" s="268">
        <v>1541</v>
      </c>
      <c r="L373" s="269">
        <f t="shared" ref="L373:L380" si="18">M373/K373</f>
        <v>41.582089552238806</v>
      </c>
      <c r="M373" s="270">
        <v>64078</v>
      </c>
    </row>
    <row r="374" spans="2:13" ht="38.25">
      <c r="B374" s="248">
        <v>2</v>
      </c>
      <c r="C374" s="267" t="s">
        <v>438</v>
      </c>
      <c r="D374" s="268" t="s">
        <v>375</v>
      </c>
      <c r="E374" s="268">
        <f>13+5</f>
        <v>18</v>
      </c>
      <c r="F374" s="269">
        <f t="shared" si="16"/>
        <v>2778.5161111111111</v>
      </c>
      <c r="G374" s="266">
        <v>50013.29</v>
      </c>
      <c r="H374" s="268">
        <v>13</v>
      </c>
      <c r="I374" s="269">
        <f t="shared" si="17"/>
        <v>3847.1761538461537</v>
      </c>
      <c r="J374" s="270">
        <v>50013.29</v>
      </c>
      <c r="K374" s="268">
        <v>13</v>
      </c>
      <c r="L374" s="269">
        <f t="shared" si="18"/>
        <v>3847.1761538461537</v>
      </c>
      <c r="M374" s="270">
        <v>50013.29</v>
      </c>
    </row>
    <row r="375" spans="2:13" ht="25.5">
      <c r="B375" s="248">
        <v>3</v>
      </c>
      <c r="C375" s="267" t="s">
        <v>390</v>
      </c>
      <c r="D375" s="268" t="s">
        <v>375</v>
      </c>
      <c r="E375" s="268">
        <v>6193</v>
      </c>
      <c r="F375" s="269">
        <f t="shared" si="16"/>
        <v>13.057854028742128</v>
      </c>
      <c r="G375" s="266">
        <v>80867.289999999994</v>
      </c>
      <c r="H375" s="268">
        <v>6193</v>
      </c>
      <c r="I375" s="269">
        <f t="shared" si="17"/>
        <v>13.057854028742128</v>
      </c>
      <c r="J375" s="270">
        <v>80867.289999999994</v>
      </c>
      <c r="K375" s="268">
        <v>6193</v>
      </c>
      <c r="L375" s="269">
        <f t="shared" si="18"/>
        <v>13.057854028742128</v>
      </c>
      <c r="M375" s="270">
        <v>80867.289999999994</v>
      </c>
    </row>
    <row r="376" spans="2:13" ht="63.75">
      <c r="B376" s="248">
        <v>4</v>
      </c>
      <c r="C376" s="267" t="s">
        <v>482</v>
      </c>
      <c r="D376" s="268" t="s">
        <v>375</v>
      </c>
      <c r="E376" s="268">
        <v>50</v>
      </c>
      <c r="F376" s="269">
        <f>G376/E376</f>
        <v>357.29820000000001</v>
      </c>
      <c r="G376" s="266">
        <v>17864.91</v>
      </c>
      <c r="H376" s="268">
        <v>50</v>
      </c>
      <c r="I376" s="269">
        <f t="shared" si="17"/>
        <v>419.54360000000003</v>
      </c>
      <c r="J376" s="270">
        <v>20977.18</v>
      </c>
      <c r="K376" s="268">
        <v>50</v>
      </c>
      <c r="L376" s="269">
        <f t="shared" si="18"/>
        <v>415.78300000000002</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2.2679999999999998</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221.93599999999952</v>
      </c>
      <c r="G381" s="115">
        <f>893974.32-590500.68-247989.64</f>
        <v>55483.999999999884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095" t="s">
        <v>394</v>
      </c>
      <c r="C387" s="1095"/>
      <c r="D387" s="1095"/>
      <c r="E387" s="1095"/>
      <c r="F387" s="1095"/>
      <c r="G387" s="1096" t="s">
        <v>232</v>
      </c>
      <c r="H387" s="1096"/>
      <c r="I387" s="1096"/>
      <c r="J387" s="123"/>
      <c r="K387" s="124"/>
      <c r="L387" s="123"/>
      <c r="M387" s="123"/>
    </row>
    <row r="388" spans="2:16">
      <c r="B388" s="1095"/>
      <c r="C388" s="1095"/>
      <c r="D388" s="1095"/>
      <c r="E388" s="1095"/>
      <c r="F388" s="1095"/>
      <c r="G388" s="122" t="s">
        <v>395</v>
      </c>
      <c r="H388" s="122" t="s">
        <v>396</v>
      </c>
      <c r="I388" s="122" t="s">
        <v>440</v>
      </c>
      <c r="J388" s="123"/>
      <c r="K388" s="123"/>
      <c r="L388" s="123"/>
      <c r="M388" s="123"/>
    </row>
    <row r="389" spans="2:16">
      <c r="B389" s="1097" t="s">
        <v>397</v>
      </c>
      <c r="C389" s="1097"/>
      <c r="D389" s="1097"/>
      <c r="E389" s="1097"/>
      <c r="F389" s="1097"/>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098" t="s">
        <v>399</v>
      </c>
      <c r="C390" s="1099"/>
      <c r="D390" s="1099"/>
      <c r="E390" s="1099"/>
      <c r="F390" s="1100"/>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101" t="s">
        <v>400</v>
      </c>
      <c r="C391" s="1102"/>
      <c r="D391" s="1102"/>
      <c r="E391" s="1102"/>
      <c r="F391" s="1103"/>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104" t="s">
        <v>178</v>
      </c>
      <c r="C392" s="1105"/>
      <c r="D392" s="1105"/>
      <c r="E392" s="1105"/>
      <c r="F392" s="1106"/>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089" t="s">
        <v>491</v>
      </c>
      <c r="S404" s="1089"/>
      <c r="T404" s="1089"/>
      <c r="U404" s="1089"/>
      <c r="V404" s="1089"/>
      <c r="W404" s="1089"/>
      <c r="X404" s="1089"/>
      <c r="Y404" s="1089"/>
      <c r="Z404" s="1089"/>
      <c r="AA404" s="1089"/>
      <c r="AB404" s="1089"/>
      <c r="AC404" s="1089"/>
    </row>
    <row r="405" spans="1:29">
      <c r="G405" s="15" t="e">
        <f>G404-G390</f>
        <v>#REF!</v>
      </c>
      <c r="R405" s="1089"/>
      <c r="S405" s="1089"/>
      <c r="T405" s="1089"/>
      <c r="U405" s="1089"/>
      <c r="V405" s="1089"/>
      <c r="W405" s="1089"/>
      <c r="X405" s="1089"/>
      <c r="Y405" s="1089"/>
      <c r="Z405" s="1089"/>
      <c r="AA405" s="1089"/>
      <c r="AB405" s="1089"/>
      <c r="AC405" s="1089"/>
    </row>
    <row r="406" spans="1:29">
      <c r="D406" s="15">
        <f>F408+F416+F413+F415+F412</f>
        <v>1499293.9</v>
      </c>
      <c r="R406" s="1089"/>
      <c r="S406" s="1089"/>
      <c r="T406" s="1089"/>
      <c r="U406" s="1089"/>
      <c r="V406" s="1089"/>
      <c r="W406" s="1089"/>
      <c r="X406" s="1089"/>
      <c r="Y406" s="1089"/>
      <c r="Z406" s="1089"/>
      <c r="AA406" s="1089"/>
      <c r="AB406" s="1089"/>
      <c r="AC406" s="1089"/>
    </row>
    <row r="407" spans="1:29" ht="23.25">
      <c r="F407" s="4" t="s">
        <v>470</v>
      </c>
      <c r="G407" s="7" t="s">
        <v>466</v>
      </c>
      <c r="H407" s="111" t="s">
        <v>467</v>
      </c>
      <c r="I407" s="7">
        <v>2023</v>
      </c>
      <c r="J407" s="7">
        <v>2024</v>
      </c>
      <c r="U407" s="1090">
        <v>2022</v>
      </c>
      <c r="V407" s="1091"/>
      <c r="W407" s="1092"/>
      <c r="X407" s="1090">
        <v>2023</v>
      </c>
      <c r="Y407" s="1091"/>
      <c r="Z407" s="1092"/>
      <c r="AA407" s="1090">
        <v>2024</v>
      </c>
      <c r="AB407" s="1091"/>
      <c r="AC407" s="1092"/>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33377286.769999996</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166085.83000000002</v>
      </c>
      <c r="Y412" s="326">
        <f>55386.41+110699.42</f>
        <v>166085.83000000002</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093" t="e">
        <f>#REF!</f>
        <v>#REF!</v>
      </c>
      <c r="H417" s="1094"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093"/>
      <c r="H418" s="1094">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093"/>
      <c r="H419" s="1094">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-1.9999999989522621E-2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801569.99999999988</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121307.54000000001</v>
      </c>
      <c r="AA423" s="325">
        <f t="shared" si="27"/>
        <v>655124.81999999995</v>
      </c>
      <c r="AB423" s="326">
        <f>500123.99+30527.12</f>
        <v>530651.11</v>
      </c>
      <c r="AC423" s="327">
        <f>117313.03+7160.68</f>
        <v>124473.70999999999</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167169.97000000003</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1627327.8399999999</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4759765.8599999994</v>
      </c>
      <c r="V426" s="326">
        <v>1627327.84</v>
      </c>
      <c r="W426" s="327">
        <f>F464</f>
        <v>3132438.0199999996</v>
      </c>
      <c r="X426" s="325">
        <f t="shared" si="26"/>
        <v>4042779.1199999996</v>
      </c>
      <c r="Y426" s="326">
        <f>508187.52+91560.46+13175.95+111780+153750.96+94951.57+43046.64+30115.48</f>
        <v>1046568.58</v>
      </c>
      <c r="Z426" s="327">
        <f>119204.48+21477.14+3090.65+26220+36065.04+22272.59+1383821.9+622720+10097.36+7064.12+307932+17655.26+418590</f>
        <v>2996210.5399999996</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725361.41999999993</v>
      </c>
      <c r="V435" s="326">
        <v>187438.31</v>
      </c>
      <c r="W435" s="327">
        <f>F471</f>
        <v>537923.11</v>
      </c>
      <c r="X435" s="325">
        <f t="shared" si="26"/>
        <v>678458.74</v>
      </c>
      <c r="Y435" s="326">
        <v>187438.31</v>
      </c>
      <c r="Z435" s="327">
        <f>43967.01+80867.29+50013.29+286260.94+29911.9</f>
        <v>491020.43000000005</v>
      </c>
      <c r="AA435" s="325">
        <f t="shared" si="27"/>
        <v>678458.74</v>
      </c>
      <c r="AB435" s="326">
        <f>187438.31</f>
        <v>187438.31</v>
      </c>
      <c r="AC435" s="327">
        <f>43967.01+80867.29+50013.29+286260.94+29911.9</f>
        <v>491020.43000000005</v>
      </c>
    </row>
    <row r="436" spans="2:29">
      <c r="B436" s="7" t="s">
        <v>34</v>
      </c>
      <c r="C436" s="7" t="s">
        <v>449</v>
      </c>
      <c r="D436" s="7" t="s">
        <v>445</v>
      </c>
      <c r="E436" s="7" t="s">
        <v>41</v>
      </c>
      <c r="F436" s="223">
        <v>460603.27</v>
      </c>
      <c r="G436" s="15">
        <f>G164</f>
        <v>44468.990000000005</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67448.709999999992</v>
      </c>
      <c r="V437" s="326">
        <v>60988.31</v>
      </c>
      <c r="W437" s="327">
        <f>F473</f>
        <v>6460.4</v>
      </c>
      <c r="X437" s="325">
        <f t="shared" si="26"/>
        <v>67448.709999999992</v>
      </c>
      <c r="Y437" s="326">
        <v>60988.31</v>
      </c>
      <c r="Z437" s="327">
        <v>6460.4</v>
      </c>
      <c r="AA437" s="325">
        <f t="shared" si="27"/>
        <v>67448.709999999992</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64387404.70000001</v>
      </c>
      <c r="G441" s="15" t="e">
        <f>SUM(G408:G437)</f>
        <v>#REF!</v>
      </c>
      <c r="H441" s="283"/>
      <c r="I441" s="15"/>
      <c r="J441" s="15"/>
      <c r="U441" s="322">
        <f t="shared" ref="U441" si="29">SUM(U408:U440)</f>
        <v>84227468.189999998</v>
      </c>
      <c r="V441" s="322">
        <f>SUM(V408:V440)</f>
        <v>73626292.310000002</v>
      </c>
      <c r="W441" s="322">
        <f>SUM(W408:W440)</f>
        <v>10601175.879999999</v>
      </c>
      <c r="X441" s="323">
        <f t="shared" ref="X441:AC441" si="30">SUM(X408:X440)</f>
        <v>82976075.579999983</v>
      </c>
      <c r="Y441" s="324">
        <f t="shared" si="30"/>
        <v>71486075.580000013</v>
      </c>
      <c r="Z441" s="322">
        <f t="shared" si="30"/>
        <v>11490000</v>
      </c>
      <c r="AA441" s="323">
        <f t="shared" si="30"/>
        <v>75136271.029999986</v>
      </c>
      <c r="AB441" s="324">
        <f t="shared" si="30"/>
        <v>63646271.030000009</v>
      </c>
      <c r="AC441" s="322">
        <f t="shared" si="30"/>
        <v>11490000.000000002</v>
      </c>
    </row>
    <row r="442" spans="2:29">
      <c r="F442" s="15">
        <v>73626292.329999998</v>
      </c>
      <c r="G442" s="15"/>
      <c r="H442" s="283"/>
      <c r="Y442" s="15">
        <v>71486075.579999998</v>
      </c>
      <c r="Z442" s="15">
        <v>11490000</v>
      </c>
      <c r="AB442" s="7">
        <v>63646271.030000001</v>
      </c>
      <c r="AC442" s="15">
        <v>11490000</v>
      </c>
    </row>
    <row r="443" spans="2:29">
      <c r="F443" s="15">
        <f>F441-F442</f>
        <v>-9238887.6299999878</v>
      </c>
      <c r="G443" s="15"/>
      <c r="H443" s="283"/>
      <c r="Y443" s="15">
        <f>Y441-Y442</f>
        <v>0</v>
      </c>
      <c r="Z443" s="15">
        <f t="shared" ref="Z443:AC443" si="31">Z441-Z442</f>
        <v>0</v>
      </c>
      <c r="AA443" s="15">
        <f t="shared" si="31"/>
        <v>75136271.029999986</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089" t="s">
        <v>492</v>
      </c>
      <c r="S450" s="1089"/>
      <c r="T450" s="1089"/>
      <c r="U450" s="1089"/>
      <c r="V450" s="1089"/>
      <c r="W450" s="1089"/>
      <c r="X450" s="1089"/>
      <c r="Y450" s="1089"/>
      <c r="Z450" s="1089"/>
      <c r="AA450" s="1089"/>
      <c r="AB450" s="1089"/>
      <c r="AC450" s="1089"/>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089"/>
      <c r="S451" s="1089"/>
      <c r="T451" s="1089"/>
      <c r="U451" s="1089"/>
      <c r="V451" s="1089"/>
      <c r="W451" s="1089"/>
      <c r="X451" s="1089"/>
      <c r="Y451" s="1089"/>
      <c r="Z451" s="1089"/>
      <c r="AA451" s="1089"/>
      <c r="AB451" s="1089"/>
      <c r="AC451" s="1089"/>
    </row>
    <row r="452" spans="2:29">
      <c r="B452" s="7" t="s">
        <v>27</v>
      </c>
      <c r="C452" s="7" t="s">
        <v>444</v>
      </c>
      <c r="D452" s="7" t="s">
        <v>483</v>
      </c>
      <c r="E452" s="7" t="s">
        <v>29</v>
      </c>
      <c r="F452" s="15">
        <v>0</v>
      </c>
      <c r="G452" s="15"/>
      <c r="H452" s="283">
        <f t="shared" si="32"/>
        <v>0</v>
      </c>
      <c r="I452" s="15"/>
      <c r="J452" s="15"/>
      <c r="P452" s="93"/>
      <c r="Q452" s="93"/>
      <c r="R452" s="1089"/>
      <c r="S452" s="1089"/>
      <c r="T452" s="1089"/>
      <c r="U452" s="1089"/>
      <c r="V452" s="1089"/>
      <c r="W452" s="1089"/>
      <c r="X452" s="1089"/>
      <c r="Y452" s="1089"/>
      <c r="Z452" s="1089"/>
      <c r="AA452" s="1089"/>
      <c r="AB452" s="1089"/>
      <c r="AC452" s="1089"/>
    </row>
    <row r="453" spans="2:29">
      <c r="B453" s="7" t="s">
        <v>27</v>
      </c>
      <c r="C453" s="7" t="s">
        <v>444</v>
      </c>
      <c r="D453" s="7" t="s">
        <v>483</v>
      </c>
      <c r="E453" s="7" t="s">
        <v>26</v>
      </c>
      <c r="F453" s="15">
        <v>425</v>
      </c>
      <c r="G453" s="15"/>
      <c r="H453" s="283">
        <f t="shared" si="32"/>
        <v>425</v>
      </c>
      <c r="I453" s="15"/>
      <c r="J453" s="15"/>
      <c r="P453" s="93"/>
      <c r="Q453" s="93"/>
      <c r="R453" s="93"/>
      <c r="S453" s="93"/>
      <c r="T453" s="93"/>
      <c r="U453" s="1090">
        <v>2022</v>
      </c>
      <c r="V453" s="1091"/>
      <c r="W453" s="1092"/>
      <c r="X453" s="1090">
        <v>2023</v>
      </c>
      <c r="Y453" s="1091"/>
      <c r="Z453" s="1092"/>
      <c r="AA453" s="1090">
        <v>2024</v>
      </c>
      <c r="AB453" s="1091"/>
      <c r="AC453" s="1092"/>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37903413.679999992</v>
      </c>
      <c r="V455" s="330">
        <f>40764980.37-7387693.6</f>
        <v>33377286.769999996</v>
      </c>
      <c r="W455" s="327">
        <v>4526126.91</v>
      </c>
      <c r="X455" s="325">
        <f t="shared" ref="X455:X486" si="34">Y455+Z455</f>
        <v>29674566.350000001</v>
      </c>
      <c r="Y455" s="330">
        <f>40398633.81-15616540.93</f>
        <v>24782092.880000003</v>
      </c>
      <c r="Z455" s="327">
        <v>4892473.47</v>
      </c>
      <c r="AA455" s="325">
        <f t="shared" ref="AA455:AA471" si="35">AB455+AC455</f>
        <v>31978747.210000001</v>
      </c>
      <c r="AB455" s="330">
        <f>40434215.56-13312360.07</f>
        <v>27121855.490000002</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73402.110000000015</v>
      </c>
      <c r="Y458" s="328">
        <f>55386.41+110699.42-92683.72</f>
        <v>73402.110000000015</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-167169.96999999997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7369095.9400000013</v>
      </c>
      <c r="Z463" s="327">
        <v>1471432.7</v>
      </c>
      <c r="AA463" s="325">
        <f t="shared" si="35"/>
        <v>9535925.6400000006</v>
      </c>
      <c r="AB463" s="330">
        <f>12039319.63-3964081.02</f>
        <v>8075238.6100000013</v>
      </c>
      <c r="AC463" s="327">
        <v>1460687.03</v>
      </c>
    </row>
    <row r="464" spans="2:29">
      <c r="B464" s="7" t="s">
        <v>34</v>
      </c>
      <c r="C464" s="7" t="s">
        <v>444</v>
      </c>
      <c r="D464" s="7" t="s">
        <v>483</v>
      </c>
      <c r="E464" s="7" t="s">
        <v>29</v>
      </c>
      <c r="F464" s="15">
        <f>418590+17655.26+307932+7064.12+10097.36+622720+1383821.9+20622.76+36065.04+26220+2957.65+21477.14+257214.79</f>
        <v>3132438.0199999996</v>
      </c>
      <c r="G464" s="15"/>
      <c r="H464" s="283">
        <f t="shared" si="32"/>
        <v>3132438.0199999996</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121307.54000000001</v>
      </c>
      <c r="AA469" s="331">
        <f t="shared" si="35"/>
        <v>944903.85</v>
      </c>
      <c r="AB469" s="328">
        <f>500123.99+30527.12+289779.03</f>
        <v>820430.14</v>
      </c>
      <c r="AC469" s="327">
        <f>117313.03+7160.68</f>
        <v>124473.70999999999</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4042779.1199999996</v>
      </c>
      <c r="Y472" s="326">
        <f>508187.52+91560.46+13175.95+111780+153750.96+94951.57+43046.64+30115.48</f>
        <v>1046568.58</v>
      </c>
      <c r="Z472" s="327">
        <f>119204.48+21477.14+3090.65+26220+36065.04+22272.59+1383821.9+622720+10097.36+7064.12+307932+17655.26+418590</f>
        <v>2996210.5399999996</v>
      </c>
      <c r="AA472" s="325">
        <f>AB472+AC472</f>
        <v>3963038.16</v>
      </c>
      <c r="AB472" s="328">
        <f>30115.48+43046.64+102547.75+153750.96+111780+13527+91560.46+508187.52-89552.36</f>
        <v>964963.45000000007</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11489999.999999998</v>
      </c>
      <c r="G475" s="15"/>
      <c r="H475" s="283">
        <f t="shared" si="32"/>
        <v>11489999.999999998</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725361.41999999993</v>
      </c>
      <c r="V480" s="326">
        <v>187438.31</v>
      </c>
      <c r="W480" s="286">
        <f>737923.11-200000</f>
        <v>537923.11</v>
      </c>
      <c r="X480" s="325">
        <f t="shared" si="34"/>
        <v>578458.75</v>
      </c>
      <c r="Y480" s="328">
        <f>187438.31-100000+0.01</f>
        <v>87438.319999999992</v>
      </c>
      <c r="Z480" s="327">
        <f>43967.01+80867.29+50013.29+286260.94+29911.9</f>
        <v>491020.43000000005</v>
      </c>
      <c r="AA480" s="325">
        <f t="shared" si="36"/>
        <v>578458.74</v>
      </c>
      <c r="AB480" s="328">
        <f>187438.31-100000</f>
        <v>87438.31</v>
      </c>
      <c r="AC480" s="327">
        <f>43967.01+80867.29+50013.29+286260.94+29911.9</f>
        <v>491020.43000000005</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64387404.70000001</v>
      </c>
      <c r="W487" s="322">
        <f t="shared" ref="W487:AC487" si="37">SUM(W454:W486)</f>
        <v>11489999.999999998</v>
      </c>
      <c r="X487" s="323">
        <f t="shared" si="37"/>
        <v>62476502.95000001</v>
      </c>
      <c r="Y487" s="324">
        <f t="shared" si="37"/>
        <v>51186502.95000001</v>
      </c>
      <c r="Z487" s="322">
        <f t="shared" si="37"/>
        <v>11490000</v>
      </c>
      <c r="AA487" s="323">
        <f t="shared" si="37"/>
        <v>57639751.080000006</v>
      </c>
      <c r="AB487" s="324">
        <f t="shared" si="37"/>
        <v>46349751.080000006</v>
      </c>
      <c r="AC487" s="322">
        <f t="shared" si="37"/>
        <v>11490000.000000002</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115" t="s">
        <v>562</v>
      </c>
      <c r="C499" s="1115"/>
    </row>
    <row r="501" spans="2:29">
      <c r="T501" s="7">
        <v>244</v>
      </c>
      <c r="U501" s="15">
        <f>V501+W501</f>
        <v>24019447.999999996</v>
      </c>
      <c r="V501" s="15">
        <f t="shared" ref="V501:AC501" si="38">V467+V468+V469+V470+V471+V472+V473+V479+V480+V481+V475+V476+V478+V484+V485</f>
        <v>19529353.999999996</v>
      </c>
      <c r="W501" s="15">
        <f t="shared" si="38"/>
        <v>4490094</v>
      </c>
      <c r="X501" s="15">
        <f t="shared" si="38"/>
        <v>22708114.389999997</v>
      </c>
      <c r="Y501" s="15">
        <f t="shared" si="38"/>
        <v>17848480.960000001</v>
      </c>
      <c r="Z501" s="15">
        <f t="shared" si="38"/>
        <v>4859633.43</v>
      </c>
      <c r="AA501" s="15">
        <f t="shared" si="38"/>
        <v>14933385.050000001</v>
      </c>
      <c r="AB501" s="15">
        <f t="shared" si="38"/>
        <v>10068224.200000001</v>
      </c>
      <c r="AC501" s="15">
        <f t="shared" si="38"/>
        <v>4865160.8500000006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2026-01-20T06:42:22Z</cp:lastPrinted>
  <dcterms:created xsi:type="dcterms:W3CDTF">2006-09-16T00:00:00Z</dcterms:created>
  <dcterms:modified xsi:type="dcterms:W3CDTF">2026-02-09T11:15:25Z</dcterms:modified>
</cp:coreProperties>
</file>