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225" windowWidth="15795" windowHeight="1228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выплаты'!$A$127</definedName>
    <definedName name="_edn1" localSheetId="0">Титульный!#REF!</definedName>
    <definedName name="_edn2" localSheetId="1">'Поступления и выплаты'!$A$128</definedName>
    <definedName name="_edn2" localSheetId="0">Титульный!#REF!</definedName>
    <definedName name="_edn3" localSheetId="1">'Поступления и выплаты'!$A$129</definedName>
    <definedName name="_edn3" localSheetId="0">Титульный!#REF!</definedName>
    <definedName name="_edn4" localSheetId="1">'Поступления и выплаты'!$A$135</definedName>
    <definedName name="_edn4" localSheetId="0">Титульный!#REF!</definedName>
    <definedName name="_edn5" localSheetId="1">'Поступления и выплаты'!$A$136</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выплаты'!$A$1:$AB$126</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CX18" i="10" l="1"/>
  <c r="E109" i="3"/>
  <c r="E51" i="3"/>
  <c r="E108" i="3" l="1"/>
  <c r="E110" i="3" l="1"/>
  <c r="E80" i="3"/>
  <c r="E60" i="3"/>
  <c r="E105" i="3"/>
  <c r="E104" i="3"/>
  <c r="E53" i="3"/>
  <c r="E107" i="3" l="1"/>
  <c r="AC11" i="3" l="1"/>
  <c r="E46" i="3" l="1"/>
  <c r="E23" i="3" l="1"/>
  <c r="E22" i="3" s="1"/>
  <c r="E18" i="3"/>
  <c r="E32" i="3"/>
  <c r="E17" i="3" l="1"/>
  <c r="CX31" i="10" l="1"/>
  <c r="E52" i="3" l="1"/>
  <c r="E50" i="3"/>
  <c r="E47" i="3" l="1"/>
  <c r="E79" i="3" l="1"/>
  <c r="DB18" i="10" l="1"/>
  <c r="DB31" i="10"/>
  <c r="E15" i="3"/>
  <c r="E11" i="3" s="1"/>
  <c r="E77" i="3" l="1"/>
  <c r="X77" i="3"/>
  <c r="W77" i="3"/>
  <c r="T77" i="3"/>
  <c r="E101" i="3"/>
  <c r="X101" i="3"/>
  <c r="W101" i="3"/>
  <c r="V101" i="3"/>
  <c r="U101" i="3"/>
  <c r="T101" i="3"/>
  <c r="F193" i="22" l="1"/>
  <c r="F194" i="22"/>
  <c r="G195" i="22"/>
  <c r="F195" i="22"/>
  <c r="G194" i="22"/>
  <c r="G193" i="22"/>
  <c r="E195" i="22"/>
  <c r="E194" i="22"/>
  <c r="E193" i="22"/>
  <c r="G189" i="22"/>
  <c r="F189" i="22"/>
  <c r="E189" i="22"/>
  <c r="G91" i="22"/>
  <c r="G90" i="22"/>
  <c r="G89" i="22"/>
  <c r="J184" i="22"/>
  <c r="M91" i="22"/>
  <c r="J91" i="22"/>
  <c r="M54" i="22"/>
  <c r="J54" i="22"/>
  <c r="G54" i="22"/>
  <c r="G65" i="22" l="1"/>
  <c r="O12" i="22"/>
  <c r="K12" i="22"/>
  <c r="F178" i="22" s="1"/>
  <c r="F20" i="24"/>
  <c r="F19" i="24"/>
  <c r="G18" i="25"/>
  <c r="F33" i="29"/>
  <c r="F29" i="29"/>
  <c r="C28" i="29"/>
  <c r="F21" i="29"/>
  <c r="M37" i="22" l="1"/>
  <c r="M42" i="22"/>
  <c r="J42" i="22"/>
  <c r="M55" i="22"/>
  <c r="J55" i="22"/>
  <c r="G55" i="22"/>
  <c r="G178" i="22"/>
  <c r="G12" i="22"/>
  <c r="G174" i="22"/>
  <c r="E173" i="22"/>
  <c r="M81" i="22"/>
  <c r="J81" i="22"/>
  <c r="F80" i="22"/>
  <c r="G79" i="22"/>
  <c r="G81" i="22" s="1"/>
  <c r="F78" i="22"/>
  <c r="M69" i="22"/>
  <c r="G182" i="22" s="1"/>
  <c r="J69" i="22"/>
  <c r="F182" i="22" s="1"/>
  <c r="F183" i="22" s="1"/>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F174" i="22" s="1"/>
  <c r="G35" i="22"/>
  <c r="I23" i="22"/>
  <c r="E181" i="22" l="1"/>
  <c r="E188" i="22"/>
  <c r="F181" i="22"/>
  <c r="F188" i="22"/>
  <c r="J37" i="22"/>
  <c r="E174" i="22"/>
  <c r="G181" i="22"/>
  <c r="G188" i="22"/>
  <c r="E178" i="22"/>
  <c r="G37" i="22"/>
  <c r="G183" i="22"/>
  <c r="G14" i="22"/>
  <c r="F54" i="22"/>
  <c r="G69" i="22"/>
  <c r="E182" i="22" s="1"/>
  <c r="G100" i="22" l="1"/>
  <c r="C27" i="29" l="1"/>
  <c r="F27" i="29" s="1"/>
  <c r="F25" i="29" s="1"/>
  <c r="C26" i="29"/>
  <c r="F26" i="29" s="1"/>
  <c r="F24" i="29"/>
  <c r="F23" i="29"/>
  <c r="N22" i="29" l="1"/>
  <c r="J22" i="29"/>
  <c r="N21" i="29"/>
  <c r="J21" i="29"/>
  <c r="J29" i="29" s="1"/>
  <c r="N29" i="29" l="1"/>
  <c r="E254" i="28"/>
  <c r="G232" i="28"/>
  <c r="F232" i="28"/>
  <c r="E232" i="28"/>
  <c r="M55" i="28"/>
  <c r="G55" i="28"/>
  <c r="M47" i="28"/>
  <c r="J47" i="28"/>
  <c r="J55" i="28" s="1"/>
  <c r="G47" i="28"/>
  <c r="G245" i="28"/>
  <c r="F245" i="28"/>
  <c r="E245" i="28"/>
  <c r="G246" i="28"/>
  <c r="F246" i="28"/>
  <c r="E246" i="28"/>
  <c r="G249" i="28"/>
  <c r="F249" i="28"/>
  <c r="G209" i="28"/>
  <c r="E249" i="28" s="1"/>
  <c r="M196" i="28" l="1"/>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D136" i="21"/>
  <c r="M56" i="21"/>
  <c r="F139" i="21"/>
  <c r="O91" i="21"/>
  <c r="N87" i="21"/>
  <c r="G113" i="21"/>
  <c r="K113" i="21"/>
  <c r="K112" i="21"/>
  <c r="O114" i="21"/>
  <c r="O113" i="21"/>
  <c r="O112" i="2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S22"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J101" i="22"/>
  <c r="G101" i="22"/>
  <c r="L100" i="22"/>
  <c r="I100" i="22"/>
  <c r="F100" i="22"/>
  <c r="L41" i="22"/>
  <c r="I41" i="22"/>
  <c r="F38" i="22"/>
  <c r="O24" i="22"/>
  <c r="N24" i="22"/>
  <c r="L24" i="22"/>
  <c r="K24" i="22"/>
  <c r="J24" i="22"/>
  <c r="H24" i="22"/>
  <c r="G24" i="22"/>
  <c r="F24" i="22"/>
  <c r="D24" i="22"/>
  <c r="M23" i="22"/>
  <c r="M24" i="22" s="1"/>
  <c r="I24" i="22"/>
  <c r="E24" i="22"/>
  <c r="O14" i="22"/>
  <c r="N14" i="22"/>
  <c r="L14" i="22"/>
  <c r="K14" i="22"/>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F24" i="24"/>
  <c r="G129" i="22"/>
  <c r="Q13" i="24"/>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35" i="21" l="1"/>
  <c r="F142" i="21" s="1"/>
  <c r="F144" i="21" s="1"/>
  <c r="O47" i="21"/>
  <c r="F131" i="21" s="1"/>
  <c r="F134" i="21" s="1"/>
  <c r="F136" i="21" s="1"/>
  <c r="G35" i="21"/>
  <c r="K35" i="21"/>
  <c r="E139" i="21" s="1"/>
  <c r="E142" i="21" s="1"/>
  <c r="E144" i="21" s="1"/>
  <c r="N19" i="21"/>
  <c r="D131" i="21" l="1"/>
  <c r="D134"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5" i="18" s="1"/>
  <c r="G164" i="18" s="1"/>
  <c r="G168" i="18"/>
  <c r="G169" i="18"/>
  <c r="G170" i="18"/>
  <c r="G171" i="18"/>
  <c r="G172" i="18"/>
  <c r="G225" i="18" l="1"/>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E6" i="3" s="1"/>
  <c r="F45" i="3"/>
  <c r="E45" i="3" s="1"/>
  <c r="F58" i="3"/>
  <c r="E58" i="3" s="1"/>
  <c r="E56" i="3" l="1"/>
  <c r="E43" i="3"/>
  <c r="M70" i="18"/>
  <c r="M279" i="18"/>
  <c r="J279" i="18"/>
  <c r="G279" i="18"/>
  <c r="M267" i="18"/>
  <c r="J267" i="18"/>
  <c r="G267" i="18"/>
  <c r="I79" i="18"/>
  <c r="L79" i="18"/>
  <c r="F79" i="18"/>
  <c r="F12" i="16"/>
  <c r="K181" i="16"/>
  <c r="G181" i="16"/>
  <c r="C181" i="16"/>
  <c r="C153" i="16"/>
  <c r="N153" i="16"/>
  <c r="J153" i="16"/>
  <c r="F153" i="16"/>
  <c r="F129" i="16"/>
  <c r="F128" i="16"/>
  <c r="F119" i="16"/>
  <c r="F118" i="16"/>
  <c r="C118" i="16" s="1"/>
  <c r="C119" i="16"/>
  <c r="F474" i="18"/>
  <c r="F413" i="18"/>
  <c r="W485" i="18" l="1"/>
  <c r="F465" i="18" s="1"/>
  <c r="W477" i="18"/>
  <c r="F466" i="18" s="1"/>
  <c r="AC485" i="18" l="1"/>
  <c r="Z485" i="18"/>
  <c r="AA483" i="18"/>
  <c r="X483" i="18"/>
  <c r="X484" i="18"/>
  <c r="U483" i="18"/>
  <c r="W480" i="18"/>
  <c r="F471" i="18" s="1"/>
  <c r="X15" i="3" l="1"/>
  <c r="T15" i="3"/>
  <c r="X108" i="3"/>
  <c r="T108"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J463" i="18"/>
  <c r="I463" i="18"/>
  <c r="G463" i="18"/>
  <c r="H463" i="18" s="1"/>
  <c r="J425" i="18"/>
  <c r="I425" i="18"/>
  <c r="K85" i="17"/>
  <c r="O85" i="17"/>
  <c r="G85" i="17"/>
  <c r="O64" i="17"/>
  <c r="K64" i="17"/>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G47" i="17"/>
  <c r="O46" i="17"/>
  <c r="O45" i="17"/>
  <c r="O47" i="17" s="1"/>
  <c r="M44" i="17"/>
  <c r="I44" i="17"/>
  <c r="E44" i="17"/>
  <c r="F64" i="18" l="1"/>
  <c r="G36" i="18" l="1"/>
  <c r="F60" i="17"/>
  <c r="G60" i="18"/>
  <c r="G70" i="18" s="1"/>
  <c r="G66" i="18"/>
  <c r="G426" i="18" l="1"/>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Z8" i="10" s="1"/>
  <c r="CY15" i="10"/>
  <c r="CY8" i="10" s="1"/>
  <c r="CX8" i="10"/>
  <c r="DA8" i="10"/>
  <c r="M383" i="18"/>
  <c r="J383" i="18"/>
  <c r="L381" i="18"/>
  <c r="I381" i="18"/>
  <c r="F381" i="18"/>
  <c r="F376" i="18"/>
  <c r="N57" i="16" l="1"/>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AA40" i="3" s="1"/>
  <c r="Z47" i="3"/>
  <c r="Y47" i="3"/>
  <c r="X47" i="3"/>
  <c r="W47" i="3"/>
  <c r="V47" i="3"/>
  <c r="U47" i="3"/>
  <c r="T47" i="3"/>
  <c r="Z43" i="3"/>
  <c r="Y43" i="3"/>
  <c r="X43" i="3"/>
  <c r="W43" i="3"/>
  <c r="V43" i="3"/>
  <c r="U43" i="3"/>
  <c r="T43" i="3"/>
  <c r="X32" i="3"/>
  <c r="T32" i="3"/>
  <c r="X28" i="3"/>
  <c r="T28" i="3"/>
  <c r="E28" i="3"/>
  <c r="AA25" i="3"/>
  <c r="AA11" i="3" s="1"/>
  <c r="X22" i="3"/>
  <c r="T22" i="3"/>
  <c r="Z17" i="3"/>
  <c r="V17" i="3"/>
  <c r="X16" i="3"/>
  <c r="V16" i="3"/>
  <c r="T16" i="3"/>
  <c r="Z15" i="3"/>
  <c r="Z11" i="3" s="1"/>
  <c r="Y15" i="3"/>
  <c r="Y11" i="3" s="1"/>
  <c r="V15" i="3"/>
  <c r="V11" i="3" s="1"/>
  <c r="U11" i="3"/>
  <c r="G412" i="18" l="1"/>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Z56" i="3"/>
  <c r="Z40" i="3" s="1"/>
  <c r="Z38" i="3" s="1"/>
  <c r="G301" i="18"/>
  <c r="J46" i="13"/>
  <c r="AA38" i="3"/>
  <c r="Y40" i="3"/>
  <c r="Y38" i="3" s="1"/>
  <c r="U40" i="3"/>
  <c r="N46" i="13"/>
  <c r="X11" i="3"/>
  <c r="V71" i="3"/>
  <c r="K35" i="17"/>
  <c r="T11" i="3"/>
  <c r="W40" i="3"/>
  <c r="W38" i="3" s="1"/>
  <c r="E40" i="3"/>
  <c r="E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S153" i="16" l="1"/>
  <c r="S154" i="16" s="1"/>
  <c r="J461" i="18"/>
  <c r="R153" i="16"/>
  <c r="I461" i="18"/>
  <c r="Q153" i="16"/>
  <c r="G461" i="18"/>
  <c r="H461" i="18" s="1"/>
  <c r="Q121" i="16"/>
  <c r="Q122" i="16" s="1"/>
  <c r="G460" i="18"/>
  <c r="H460" i="18" s="1"/>
  <c r="I391" i="18"/>
  <c r="I397" i="18" s="1"/>
  <c r="H391" i="18"/>
  <c r="H397" i="18" s="1"/>
  <c r="I390" i="18"/>
  <c r="U38" i="3"/>
  <c r="V38" i="3"/>
  <c r="G107" i="25" l="1"/>
  <c r="G248" i="29"/>
  <c r="G87" i="23"/>
  <c r="G142" i="26"/>
  <c r="G53" i="24"/>
  <c r="I392" i="18"/>
  <c r="F248" i="29" l="1"/>
  <c r="F107" i="25"/>
  <c r="F87" i="23"/>
  <c r="F142" i="26"/>
  <c r="F53" i="24"/>
  <c r="G409" i="18"/>
  <c r="H409" i="18" s="1"/>
  <c r="G417" i="18" l="1"/>
  <c r="H417" i="18" s="1"/>
  <c r="G389" i="18" l="1"/>
  <c r="K89" i="16" l="1"/>
  <c r="I421" i="18" s="1"/>
  <c r="J88" i="16"/>
  <c r="J87" i="16"/>
  <c r="J160" i="16"/>
  <c r="G273" i="16" l="1"/>
  <c r="R152" i="16"/>
  <c r="R154" i="16" s="1"/>
  <c r="I423" i="18"/>
  <c r="H390" i="18"/>
  <c r="H392" i="18" s="1"/>
  <c r="G276" i="11"/>
  <c r="G275" i="17"/>
  <c r="G274" i="13"/>
  <c r="F160" i="16" l="1"/>
  <c r="Q152" i="16" s="1"/>
  <c r="Q154" i="16" s="1"/>
  <c r="F273" i="16" l="1"/>
  <c r="G390" i="18"/>
  <c r="G423" i="18"/>
  <c r="F275" i="17"/>
  <c r="F274" i="13"/>
  <c r="F276" i="11"/>
  <c r="G441" i="18" l="1"/>
  <c r="H423" i="18"/>
  <c r="G405" i="18"/>
  <c r="G391" i="18"/>
  <c r="G392" i="18" s="1"/>
  <c r="G399" i="18" l="1"/>
  <c r="G397" i="18"/>
  <c r="G34" i="28" l="1"/>
  <c r="G36" i="28"/>
  <c r="G35" i="28"/>
  <c r="G33" i="28"/>
  <c r="G37" i="28" l="1"/>
  <c r="E230"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<sst xmlns="http://schemas.openxmlformats.org/spreadsheetml/2006/main" count="5829" uniqueCount="957">
  <si>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</si>
  <si>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</si>
  <si>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</si>
  <si>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</si>
  <si>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</si>
  <si>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</si>
  <si>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</si>
  <si>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</si>
  <si>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</si>
  <si>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</si>
  <si>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</si>
  <si>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</si>
  <si>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</si>
  <si>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</si>
  <si>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2022 г</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</si>
  <si>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</si>
  <si>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</si>
  <si>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</si>
  <si>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</si>
  <si>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</si>
  <si>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</si>
  <si>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</si>
  <si>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</si>
  <si>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</si>
  <si>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</si>
  <si>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</si>
  <si>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</si>
  <si>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</si>
  <si>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</si>
  <si>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</si>
  <si>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</si>
  <si>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</si>
  <si>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</si>
  <si>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</si>
  <si>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</si>
  <si>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</si>
  <si>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</si>
  <si>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</si>
  <si>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</si>
  <si>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</si>
  <si>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</si>
  <si>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</si>
  <si>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</si>
  <si>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</si>
  <si>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</si>
  <si>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</si>
  <si>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</si>
  <si>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</si>
  <si>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</si>
  <si>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</si>
  <si>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</si>
  <si>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</si>
  <si>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</si>
  <si>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</si>
  <si>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</si>
  <si>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</si>
  <si>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</si>
  <si>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</si>
  <si>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</si>
  <si>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</si>
  <si>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</si>
  <si>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</si>
  <si>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</si>
  <si>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</si>
  <si>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</si>
  <si>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</si>
  <si>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</si>
  <si>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</si>
  <si>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</si>
  <si>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</si>
  <si>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</si>
  <si>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</si>
  <si>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</si>
  <si>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</si>
  <si>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</si>
  <si>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</si>
  <si>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</si>
  <si>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</si>
  <si>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</si>
  <si>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</si>
  <si>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</si>
  <si>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</si>
  <si>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</si>
  <si>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</si>
  <si>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</si>
  <si>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</si>
  <si>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</si>
  <si>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</si>
  <si>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</si>
  <si>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</si>
  <si>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</si>
  <si>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</si>
  <si>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</si>
  <si>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</si>
  <si>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</si>
  <si>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</si>
  <si>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</si>
  <si>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</si>
  <si>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</si>
  <si>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</si>
  <si>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</si>
  <si>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</si>
  <si>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</si>
  <si>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</si>
  <si>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</si>
  <si>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</si>
  <si>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</si>
  <si>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</si>
  <si>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</si>
  <si>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</si>
  <si>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</si>
  <si>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</si>
  <si>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</si>
  <si>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</si>
  <si>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</si>
  <si>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</si>
  <si>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</si>
  <si>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</si>
  <si>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</si>
  <si>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</si>
  <si>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</si>
  <si>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</si>
  <si>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</si>
  <si>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</si>
  <si>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</si>
  <si>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</si>
  <si>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</si>
  <si>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</si>
  <si>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</si>
  <si>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</si>
  <si>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</si>
  <si>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</si>
  <si>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</si>
  <si>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</si>
  <si>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</si>
  <si>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</si>
  <si>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</si>
  <si>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</si>
  <si>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</si>
  <si>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</si>
  <si>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</si>
  <si>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</si>
  <si>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</si>
  <si>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</si>
  <si>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</si>
  <si>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</si>
  <si>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</si>
  <si>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</si>
  <si>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</si>
  <si>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</si>
  <si>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</si>
  <si>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</si>
  <si>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</si>
  <si>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</si>
  <si>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</si>
  <si>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</si>
  <si>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</si>
  <si>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</si>
  <si>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</si>
  <si>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</si>
  <si>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</si>
  <si>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</si>
  <si>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</si>
  <si>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</si>
  <si>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</si>
  <si>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</si>
  <si>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</si>
  <si>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</si>
  <si>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</si>
  <si>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</si>
  <si>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</si>
  <si>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</si>
  <si>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</si>
  <si>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</si>
  <si>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</si>
  <si>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</si>
  <si>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</si>
  <si>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</si>
  <si>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</si>
  <si>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</si>
  <si>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</si>
  <si>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</si>
  <si>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</si>
  <si>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</si>
  <si>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</si>
  <si>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</si>
  <si>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</si>
  <si>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</si>
  <si>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</si>
  <si>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</si>
  <si>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</si>
  <si>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</si>
  <si>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</si>
  <si>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</si>
  <si>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</si>
  <si>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</si>
  <si>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</si>
  <si>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</si>
  <si>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</si>
  <si>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</si>
  <si>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</si>
  <si>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</si>
  <si>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</si>
  <si>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</si>
  <si>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</si>
  <si>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</si>
  <si>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</si>
  <si>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</si>
  <si>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</si>
  <si>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</si>
  <si>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</si>
  <si>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</si>
  <si>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</si>
  <si>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</si>
  <si>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</si>
  <si>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</si>
  <si>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</si>
  <si>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</si>
  <si>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</si>
  <si>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</si>
  <si>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</si>
  <si>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</si>
  <si>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</si>
  <si>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</si>
  <si>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</si>
  <si>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</si>
  <si>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</si>
  <si>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</si>
  <si>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</si>
  <si>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</si>
  <si>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</si>
  <si>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</si>
  <si>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</si>
  <si>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</si>
  <si>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</si>
  <si>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</si>
  <si>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</si>
  <si>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</si>
  <si>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</si>
  <si>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</si>
  <si>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</si>
  <si>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</si>
  <si>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</si>
  <si>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</si>
  <si>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</si>
  <si>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</si>
  <si>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</si>
  <si>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</si>
  <si>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</si>
  <si>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</si>
  <si>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</si>
  <si>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</si>
  <si>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</si>
  <si>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</si>
  <si>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</si>
  <si>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</si>
  <si>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</si>
  <si>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</si>
  <si>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</si>
  <si>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</si>
  <si>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</si>
  <si>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</si>
  <si>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</si>
  <si>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</si>
  <si>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</si>
  <si>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</si>
  <si>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</si>
  <si>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</si>
  <si>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</si>
  <si>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</si>
  <si>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</si>
  <si>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</si>
  <si>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</si>
  <si>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</si>
  <si>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</si>
  <si>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</si>
  <si>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</si>
  <si>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</si>
  <si>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</si>
  <si>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</si>
  <si>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</si>
  <si>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</si>
  <si>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</si>
  <si>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</si>
  <si>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</si>
  <si>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</si>
  <si>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</si>
  <si>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</si>
  <si>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</si>
  <si>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</si>
  <si>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</si>
  <si>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</si>
  <si>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</si>
  <si>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</si>
  <si>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</si>
  <si>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</si>
  <si>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</si>
  <si>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</si>
  <si>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</si>
  <si>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</si>
  <si>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</si>
  <si>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</si>
  <si>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</si>
  <si>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</si>
  <si>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</si>
  <si>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</si>
  <si>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</si>
  <si>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</si>
  <si>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</si>
  <si>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</si>
  <si>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</si>
  <si>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</si>
  <si>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</si>
  <si>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</si>
  <si>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</si>
  <si>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</si>
  <si>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</si>
  <si>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</si>
  <si>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</si>
  <si>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</si>
  <si>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</si>
  <si>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</si>
  <si>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</si>
  <si>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</si>
  <si>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</si>
  <si>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</si>
  <si>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</si>
  <si>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</si>
  <si>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</si>
  <si>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</si>
  <si>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</si>
  <si>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</si>
  <si>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</si>
  <si>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</si>
  <si>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</si>
  <si>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</si>
  <si>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</si>
  <si>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</si>
  <si>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</si>
  <si>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</si>
  <si>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</si>
  <si>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</si>
  <si>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</si>
  <si>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</si>
  <si>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</si>
  <si>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</si>
  <si>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</si>
  <si>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</si>
  <si>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</si>
  <si>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</si>
  <si>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</si>
  <si>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</si>
  <si>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</si>
  <si>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</si>
  <si>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</si>
  <si>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</si>
  <si>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</si>
  <si>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</si>
  <si>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</si>
  <si>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</si>
  <si>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</si>
  <si>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</si>
  <si>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</si>
  <si>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</si>
  <si>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</si>
  <si>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</si>
  <si>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</si>
  <si>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</si>
  <si>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</si>
  <si>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</si>
  <si>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</si>
  <si>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</si>
  <si>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</si>
  <si>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</si>
  <si>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</si>
  <si>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</si>
  <si>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</si>
  <si>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</si>
  <si>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</si>
  <si>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</si>
  <si>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</si>
  <si>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</si>
  <si>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</si>
  <si>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</si>
  <si>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</si>
  <si>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</si>
  <si>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</si>
  <si>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</si>
  <si>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</si>
  <si>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</si>
  <si>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</si>
  <si>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</si>
  <si>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</si>
  <si>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</si>
  <si>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</si>
  <si>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</si>
  <si>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</si>
  <si>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</si>
  <si>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</si>
  <si>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</si>
  <si>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</si>
  <si>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</si>
  <si>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</si>
  <si>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</si>
  <si>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</si>
  <si>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</si>
  <si>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</si>
  <si>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</si>
  <si>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</si>
  <si>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</si>
  <si>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</si>
  <si>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</si>
  <si>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</si>
  <si>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</si>
  <si>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</si>
  <si>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</si>
  <si>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</si>
  <si>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</si>
  <si>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</si>
  <si>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</si>
  <si>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</si>
  <si>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</si>
  <si>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</si>
  <si>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</si>
  <si>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</si>
  <si>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</si>
  <si>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</si>
  <si>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</si>
  <si>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</si>
  <si>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</si>
  <si>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</si>
  <si>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</si>
  <si>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</si>
  <si>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</si>
  <si>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</si>
  <si>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</si>
  <si>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</si>
  <si>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</si>
  <si>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</si>
  <si>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</si>
  <si>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</si>
  <si>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</si>
  <si>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</si>
  <si>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</si>
  <si>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</si>
  <si>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</si>
  <si>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</si>
  <si>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</si>
  <si>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</si>
  <si>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</si>
  <si>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</si>
  <si>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</si>
  <si>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</si>
  <si>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</si>
  <si>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</si>
  <si>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</si>
  <si>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</si>
  <si>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</si>
  <si>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</si>
  <si>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</si>
  <si>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</si>
  <si>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</si>
  <si>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</si>
  <si>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</si>
  <si>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</si>
  <si>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</si>
  <si>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</si>
  <si>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</si>
  <si>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</si>
  <si>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</si>
  <si>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</si>
  <si>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</si>
  <si>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</si>
  <si>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</si>
  <si>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</si>
  <si>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</si>
  <si>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</si>
  <si>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</si>
  <si>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</si>
  <si>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</si>
  <si>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</si>
  <si>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</si>
  <si>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</si>
  <si>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</si>
  <si>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</si>
  <si>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</si>
  <si>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</si>
  <si>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</si>
  <si>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</si>
  <si>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</si>
  <si>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</si>
  <si>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</si>
  <si>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</si>
  <si>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</si>
  <si>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</si>
  <si>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</si>
  <si>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</si>
  <si>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</si>
  <si>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</si>
  <si>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</si>
  <si>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</si>
  <si>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</si>
  <si>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</si>
  <si>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</si>
  <si>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</si>
  <si>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</si>
  <si>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</si>
  <si>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</si>
  <si>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</si>
  <si>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</si>
  <si>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</si>
  <si>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</si>
  <si>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</si>
  <si>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</si>
  <si>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</si>
  <si>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</si>
  <si>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</si>
  <si>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</si>
  <si>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</si>
  <si>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</si>
  <si>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</si>
  <si>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</si>
  <si>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</si>
  <si>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</si>
  <si>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</si>
  <si>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</si>
  <si>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</si>
  <si>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</si>
  <si>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</si>
  <si>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</si>
  <si>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</si>
  <si>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</si>
  <si>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</si>
  <si>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</si>
  <si>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</si>
  <si>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</si>
  <si>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</si>
  <si>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</si>
  <si>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</si>
  <si>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</si>
  <si>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</si>
  <si>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</si>
  <si>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</si>
  <si>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</si>
  <si>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</si>
  <si>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</si>
  <si>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</si>
  <si>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</si>
  <si>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</si>
  <si>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</si>
  <si>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</si>
  <si>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</si>
  <si>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</si>
  <si>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</si>
  <si>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</si>
  <si>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</si>
  <si>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</si>
  <si>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</si>
  <si>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</si>
  <si>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</si>
  <si>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</si>
  <si>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</si>
  <si>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</si>
  <si>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</si>
  <si>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</si>
  <si>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</si>
  <si>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</si>
  <si>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</si>
  <si>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</si>
  <si>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</si>
  <si>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</si>
  <si>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</si>
  <si>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</si>
  <si>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</si>
  <si>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</si>
  <si>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</si>
  <si>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</si>
  <si>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</si>
  <si>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</si>
  <si>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</si>
  <si>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</si>
  <si>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</si>
  <si>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</si>
  <si>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</si>
  <si>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</si>
  <si>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</si>
  <si>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</si>
  <si>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</si>
  <si>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</si>
  <si>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</si>
  <si>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</si>
  <si>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</si>
  <si>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</si>
  <si>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</si>
  <si>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</si>
  <si>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</si>
  <si>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</si>
  <si>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</si>
  <si>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</si>
  <si>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</si>
  <si>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</si>
  <si>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</si>
  <si>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</si>
  <si>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</si>
  <si>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</si>
  <si>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</si>
  <si>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</si>
  <si>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</si>
  <si>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</si>
  <si>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</si>
  <si>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</si>
  <si>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</si>
  <si>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</si>
  <si>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</si>
  <si>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2022 г. текущий финансовый год</t>
  </si>
  <si>
    <t>на 2023 г. первый год планового периода</t>
  </si>
  <si>
    <t>на 2024 г. второй год планового периода</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</si>
  <si>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</si>
  <si>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</si>
  <si>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</si>
  <si>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</si>
  <si>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</si>
  <si>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</si>
  <si>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</si>
  <si>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 xml:space="preserve">План финансово-хозяйственной деятельности на 2022 г. </t>
  </si>
  <si>
    <t>и плановый период 2023 и 2024 годов</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</si>
  <si>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</si>
  <si>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</si>
  <si>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</si>
  <si>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</si>
  <si>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</si>
  <si>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</si>
  <si>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</si>
  <si>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</si>
  <si>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</si>
  <si>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</si>
  <si>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</si>
  <si>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</si>
  <si>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</si>
  <si>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</si>
  <si>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</si>
  <si>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</si>
  <si>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</si>
  <si>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</si>
  <si>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</si>
  <si>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</si>
  <si>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</si>
  <si>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</si>
  <si>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</si>
  <si>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</si>
  <si>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</si>
  <si>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</si>
  <si>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</si>
  <si>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</si>
  <si>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</si>
  <si>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</si>
  <si>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22</t>
  </si>
  <si>
    <t>(КВФО 2)</t>
  </si>
  <si>
    <t>(КВФО 4)</t>
  </si>
  <si>
    <t xml:space="preserve">итого </t>
  </si>
  <si>
    <t>от «___»____________2022 г.</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</si>
  <si>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</si>
  <si>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</si>
  <si>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</si>
  <si>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</si>
  <si>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</si>
  <si>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</si>
  <si>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</si>
  <si>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</si>
  <si>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</si>
  <si>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</si>
  <si>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</si>
  <si>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</si>
  <si>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</si>
  <si>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</si>
  <si>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</si>
  <si>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</si>
  <si>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</si>
  <si>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</si>
  <si>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</si>
  <si>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</si>
  <si>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</si>
  <si>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</si>
  <si>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</si>
  <si>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</si>
  <si>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</si>
  <si>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</si>
  <si>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</si>
  <si>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</si>
  <si>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</si>
  <si>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</si>
  <si>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</si>
  <si>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</si>
  <si>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</si>
  <si>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</si>
  <si>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</si>
  <si>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</si>
  <si>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</si>
  <si>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</si>
  <si>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</si>
  <si>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</si>
  <si>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</si>
  <si>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</si>
  <si>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</si>
  <si>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</si>
  <si>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</si>
  <si>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</si>
  <si>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</si>
  <si>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</si>
  <si>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</si>
  <si>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</si>
  <si>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</si>
  <si>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</si>
  <si>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</si>
  <si>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</si>
  <si>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</si>
  <si>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</si>
  <si>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</si>
  <si>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</si>
  <si>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</si>
  <si>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</si>
  <si>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</si>
  <si>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</si>
  <si>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</si>
  <si>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</si>
  <si>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</si>
  <si>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</si>
  <si>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</si>
  <si>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</si>
  <si>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</si>
  <si>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</si>
  <si>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</si>
  <si>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</si>
  <si>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</si>
  <si>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</si>
  <si>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</si>
  <si>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</si>
  <si>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</si>
  <si>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</si>
  <si>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</si>
  <si>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</si>
  <si>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</si>
  <si>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</si>
  <si>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</si>
  <si>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</si>
  <si>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</si>
  <si>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</si>
  <si>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</si>
  <si>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</si>
  <si>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</si>
  <si>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</si>
  <si>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</si>
  <si>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</si>
  <si>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</si>
  <si>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</si>
  <si>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</si>
  <si>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</si>
  <si>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</si>
  <si>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</si>
  <si>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</si>
  <si>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</si>
  <si>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</si>
  <si>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</si>
  <si>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</si>
  <si>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</si>
  <si>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</si>
  <si>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</si>
  <si>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</si>
  <si>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</si>
  <si>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</si>
  <si>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</si>
  <si>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</si>
  <si>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</si>
  <si>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</si>
  <si>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</si>
  <si>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</si>
  <si>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</si>
  <si>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</si>
  <si>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</si>
  <si>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</si>
  <si>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</si>
  <si>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</si>
  <si>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</si>
  <si>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</si>
  <si>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</si>
  <si>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</si>
  <si>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</si>
  <si>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</si>
  <si>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</si>
  <si>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</si>
  <si>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</si>
  <si>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</si>
  <si>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</si>
  <si>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</si>
  <si>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</si>
  <si>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</si>
  <si>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</si>
  <si>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</si>
  <si>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</si>
  <si>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</si>
  <si>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</si>
  <si>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</si>
  <si>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</si>
  <si>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</si>
  <si>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</si>
  <si>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</si>
  <si>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</si>
  <si>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</si>
  <si>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</si>
  <si>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</si>
  <si>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</si>
  <si>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</si>
  <si>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</si>
  <si>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</si>
  <si>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</si>
  <si>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</si>
  <si>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</si>
  <si>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</si>
  <si>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</si>
  <si>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</si>
  <si>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</si>
  <si>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</si>
  <si>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</si>
  <si>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</si>
  <si>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</si>
  <si>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</si>
  <si>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</si>
  <si>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</si>
  <si>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</si>
  <si>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</si>
  <si>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</si>
  <si>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</si>
  <si>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</si>
  <si>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</si>
  <si>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</si>
  <si>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</si>
  <si>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</si>
  <si>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</si>
  <si>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</si>
  <si>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</si>
  <si>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</si>
  <si>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</si>
  <si>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</si>
  <si>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</si>
  <si>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</si>
  <si>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</si>
  <si>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</si>
  <si>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</si>
  <si>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</si>
  <si>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</si>
  <si>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</si>
  <si>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</si>
  <si>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</si>
  <si>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</si>
  <si>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</si>
  <si>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</si>
  <si>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</si>
  <si>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</si>
  <si>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</si>
  <si>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</si>
  <si>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</si>
  <si>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</si>
  <si>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</si>
  <si>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</si>
  <si>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</si>
  <si>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</si>
  <si>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</si>
  <si>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</si>
  <si>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</si>
  <si>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</si>
  <si>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</si>
  <si>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</si>
  <si>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</si>
  <si>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</si>
  <si>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</si>
  <si>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</si>
  <si>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</si>
  <si>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</si>
  <si>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</si>
  <si>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</si>
  <si>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</si>
  <si>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</si>
  <si>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</si>
  <si>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</si>
  <si>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</si>
  <si>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</si>
  <si>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</si>
  <si>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</si>
  <si>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</si>
  <si>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</si>
  <si>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</si>
  <si>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</si>
  <si>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</si>
  <si>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</si>
  <si>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</si>
  <si>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</si>
  <si>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</si>
  <si>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</si>
  <si>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</si>
  <si>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</si>
  <si>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</si>
  <si>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</si>
  <si>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</si>
  <si>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</si>
  <si>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</si>
  <si>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</si>
  <si>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</si>
  <si>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</si>
  <si>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</si>
  <si>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</si>
  <si>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</si>
  <si>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</si>
  <si>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</si>
  <si>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</si>
  <si>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</si>
  <si>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</si>
  <si>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</si>
  <si>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</si>
  <si>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</si>
  <si>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</si>
  <si>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</si>
  <si>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</si>
  <si>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</si>
  <si>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</si>
  <si>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</si>
  <si>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</si>
  <si>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</si>
  <si>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</si>
  <si>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</si>
  <si>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</si>
  <si>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</si>
  <si>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</si>
  <si>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</si>
  <si>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</si>
  <si>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</si>
  <si>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</si>
  <si>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</si>
  <si>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</si>
  <si>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</si>
  <si>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</si>
  <si>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</si>
  <si>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</si>
  <si>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</si>
  <si>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</si>
  <si>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</si>
  <si>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</si>
  <si>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</si>
  <si>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</si>
  <si>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</si>
  <si>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</si>
  <si>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ведущий экономист</t>
  </si>
  <si>
    <t>В.И. Низамутдинова</t>
  </si>
  <si>
    <t>"_____ " _________________ 2022 г.</t>
  </si>
  <si>
    <t>Директор</t>
  </si>
  <si>
    <t>Е.А. Блинова</t>
  </si>
  <si>
    <t>И.о. директора департамента культуры и молодёжной политики Администрации города</t>
  </si>
  <si>
    <t>Е.Г. Лаптев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</si>
</sst>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46">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49" fontId="23" fillId="0" borderId="2" xfId="26" applyNumberFormat="1" applyFont="1" applyBorder="1" applyAlignment="1">
      <alignment horizontal="center"/>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top" wrapText="1"/>
    </xf>
    <xf numFmtId="0" fontId="33" fillId="0" borderId="3"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wrapText="1"/>
    </xf>
    <xf numFmtId="0" fontId="30" fillId="0" borderId="0" xfId="0" applyFont="1" applyAlignment="1">
      <alignment horizontal="center" vertical="center"/>
    </xf>
    <xf numFmtId="0" fontId="8" fillId="0" borderId="2" xfId="0" applyFont="1" applyBorder="1" applyAlignment="1">
      <alignment horizontal="left"/>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1" fillId="0" borderId="0" xfId="0" applyFont="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2" fillId="0" borderId="3" xfId="0" applyFont="1" applyBorder="1" applyAlignment="1">
      <alignment vertical="center" wrapText="1"/>
    </xf>
    <xf numFmtId="0" fontId="32" fillId="0" borderId="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0" xfId="0" applyFont="1" applyAlignment="1">
      <alignment horizontal="left"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8"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N79">
            <v>5207036.58</v>
          </cell>
        </row>
      </sheetData>
      <sheetData sheetId="7"/>
      <sheetData sheetId="8"/>
      <sheetData sheetId="9">
        <row r="22">
          <cell r="D22">
            <v>9756045.25</v>
          </cell>
          <cell r="F22">
            <v>8142293.2800000003</v>
          </cell>
          <cell r="H22">
            <v>8098921.9800000004</v>
          </cell>
        </row>
        <row r="42">
          <cell r="F42">
            <v>1450913.69</v>
          </cell>
          <cell r="H42">
            <v>1533302.43</v>
          </cell>
        </row>
      </sheetData>
      <sheetData sheetId="10">
        <row r="12">
          <cell r="F12">
            <v>48754.879999999997</v>
          </cell>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F19">
            <v>26226.32</v>
          </cell>
          <cell r="N19">
            <v>26226.32</v>
          </cell>
        </row>
        <row r="34">
          <cell r="O34">
            <v>1562181.16</v>
          </cell>
        </row>
        <row r="46">
          <cell r="O46">
            <v>0</v>
          </cell>
        </row>
        <row r="59">
          <cell r="O59">
            <v>364281.23</v>
          </cell>
        </row>
        <row r="69">
          <cell r="O69">
            <v>14294.28</v>
          </cell>
        </row>
      </sheetData>
      <sheetData sheetId="12">
        <row r="14">
          <cell r="E14">
            <v>17902</v>
          </cell>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refreshError="1"/>
      <sheetData sheetId="1">
        <row r="10">
          <cell r="CX10">
            <v>20076401.199999999</v>
          </cell>
        </row>
        <row r="14">
          <cell r="CX14">
            <v>4722766.7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AE17" sqref="AE17"/>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78" t="s">
        <v>0</v>
      </c>
      <c r="J1" s="878"/>
      <c r="K1" s="878"/>
      <c r="L1" s="878"/>
      <c r="M1" s="878"/>
      <c r="N1" s="8"/>
      <c r="O1" s="8"/>
      <c r="P1" s="8"/>
      <c r="Q1" s="9"/>
    </row>
    <row r="2" spans="1:17" ht="26.25" customHeight="1">
      <c r="A2" s="4"/>
      <c r="B2" s="5"/>
      <c r="C2" s="5"/>
      <c r="D2" s="5"/>
      <c r="E2" s="4"/>
      <c r="F2" s="4"/>
      <c r="G2" s="4"/>
      <c r="H2" s="4"/>
      <c r="I2" s="10" t="s">
        <v>953</v>
      </c>
      <c r="J2" s="10"/>
      <c r="K2" s="10"/>
      <c r="L2" s="10"/>
      <c r="M2" s="10"/>
      <c r="N2" s="10"/>
      <c r="O2" s="10"/>
      <c r="P2" s="10"/>
      <c r="Q2" s="9"/>
    </row>
    <row r="3" spans="1:17" ht="24.75" customHeight="1">
      <c r="A3" s="4"/>
      <c r="B3" s="5"/>
      <c r="C3" s="5"/>
      <c r="D3" s="5"/>
      <c r="E3" s="4"/>
      <c r="F3" s="4"/>
      <c r="G3" s="4"/>
      <c r="H3" s="4"/>
      <c r="I3" s="878" t="s">
        <v>499</v>
      </c>
      <c r="J3" s="878"/>
      <c r="K3" s="878"/>
      <c r="L3" s="878"/>
      <c r="M3" s="878"/>
      <c r="N3" s="878"/>
      <c r="O3" s="878"/>
      <c r="P3" s="878"/>
      <c r="Q3" s="878"/>
    </row>
    <row r="4" spans="1:17" ht="13.5" customHeight="1">
      <c r="A4" s="4"/>
      <c r="B4" s="5"/>
      <c r="C4" s="5"/>
      <c r="D4" s="5"/>
      <c r="E4" s="4"/>
      <c r="F4" s="4"/>
      <c r="G4" s="4"/>
      <c r="H4" s="4"/>
      <c r="I4" s="879" t="s">
        <v>1</v>
      </c>
      <c r="J4" s="879"/>
      <c r="K4" s="879"/>
      <c r="L4" s="879"/>
      <c r="M4" s="879"/>
      <c r="N4" s="7"/>
      <c r="O4" s="7"/>
      <c r="P4" s="7"/>
      <c r="Q4" s="9"/>
    </row>
    <row r="5" spans="1:17" ht="37.5" customHeight="1">
      <c r="A5" s="4"/>
      <c r="B5" s="5"/>
      <c r="C5" s="5"/>
      <c r="D5" s="5"/>
      <c r="E5" s="4"/>
      <c r="F5" s="4"/>
      <c r="G5" s="4"/>
      <c r="H5" s="4"/>
      <c r="I5" s="11"/>
      <c r="J5" s="12"/>
      <c r="K5" s="12"/>
      <c r="L5" s="12"/>
      <c r="M5" s="197"/>
      <c r="N5" s="13"/>
      <c r="O5" s="13"/>
      <c r="P5" s="13"/>
      <c r="Q5" s="277" t="s">
        <v>954</v>
      </c>
    </row>
    <row r="6" spans="1:17" ht="37.5" customHeight="1">
      <c r="A6" s="4"/>
      <c r="B6" s="5"/>
      <c r="C6" s="5"/>
      <c r="D6" s="5"/>
      <c r="E6" s="4"/>
      <c r="F6" s="4"/>
      <c r="G6" s="4"/>
      <c r="H6" s="4"/>
      <c r="I6" s="211" t="s">
        <v>178</v>
      </c>
      <c r="J6" s="203"/>
      <c r="K6" s="203"/>
      <c r="L6" s="203"/>
      <c r="M6" s="204"/>
      <c r="N6" s="205"/>
      <c r="O6" s="205"/>
      <c r="P6" s="205"/>
      <c r="Q6" s="206" t="s">
        <v>505</v>
      </c>
    </row>
    <row r="7" spans="1:17" ht="22.5" customHeight="1">
      <c r="A7" s="4"/>
      <c r="B7" s="5"/>
      <c r="C7" s="5"/>
      <c r="D7" s="5"/>
      <c r="E7" s="4"/>
      <c r="F7" s="4"/>
      <c r="G7" s="4"/>
      <c r="H7" s="4"/>
      <c r="I7" s="878" t="s">
        <v>952</v>
      </c>
      <c r="J7" s="878"/>
      <c r="K7" s="878"/>
      <c r="L7" s="878"/>
      <c r="M7" s="878"/>
      <c r="N7" s="878"/>
      <c r="O7" s="878"/>
      <c r="P7" s="878"/>
      <c r="Q7" s="878"/>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0" t="s">
        <v>624</v>
      </c>
      <c r="B20" s="880"/>
      <c r="C20" s="880"/>
      <c r="D20" s="880"/>
      <c r="E20" s="880"/>
      <c r="F20" s="880"/>
      <c r="G20" s="880"/>
      <c r="H20" s="880"/>
      <c r="I20" s="880"/>
      <c r="J20" s="880"/>
      <c r="K20" s="880"/>
      <c r="L20" s="880"/>
      <c r="M20" s="880"/>
      <c r="N20" s="880"/>
      <c r="O20" s="880"/>
      <c r="P20" s="880"/>
      <c r="Q20" s="880"/>
    </row>
    <row r="21" spans="1:17" ht="23.25">
      <c r="A21" s="880" t="s">
        <v>625</v>
      </c>
      <c r="B21" s="880"/>
      <c r="C21" s="880"/>
      <c r="D21" s="880"/>
      <c r="E21" s="880"/>
      <c r="F21" s="880"/>
      <c r="G21" s="880"/>
      <c r="H21" s="880"/>
      <c r="I21" s="880"/>
      <c r="J21" s="880"/>
      <c r="K21" s="880"/>
      <c r="L21" s="880"/>
      <c r="M21" s="880"/>
      <c r="N21" s="880"/>
      <c r="O21" s="880"/>
      <c r="P21" s="880"/>
      <c r="Q21" s="880"/>
    </row>
    <row r="22" spans="1:17" ht="23.25">
      <c r="A22" s="880" t="s">
        <v>660</v>
      </c>
      <c r="B22" s="880"/>
      <c r="C22" s="880"/>
      <c r="D22" s="880"/>
      <c r="E22" s="880"/>
      <c r="F22" s="880"/>
      <c r="G22" s="880"/>
      <c r="H22" s="880"/>
      <c r="I22" s="880"/>
      <c r="J22" s="880"/>
      <c r="K22" s="880"/>
      <c r="L22" s="880"/>
      <c r="M22" s="880"/>
      <c r="N22" s="880"/>
      <c r="O22" s="880"/>
      <c r="P22" s="880"/>
      <c r="Q22" s="880"/>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116</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482</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1"/>
      <c r="G31" s="26"/>
      <c r="H31" s="26"/>
      <c r="I31" s="25"/>
      <c r="J31" s="881"/>
      <c r="K31" s="26"/>
      <c r="L31" s="26"/>
      <c r="M31" s="25"/>
      <c r="N31" s="881"/>
      <c r="O31" s="26"/>
      <c r="P31" s="26"/>
      <c r="Q31" s="27"/>
    </row>
    <row r="32" spans="1:17" customFormat="1" ht="45" hidden="1">
      <c r="A32" s="24" t="s">
        <v>6</v>
      </c>
      <c r="B32" s="25">
        <v>2620</v>
      </c>
      <c r="C32" s="25">
        <v>242</v>
      </c>
      <c r="D32" s="25"/>
      <c r="E32" s="25"/>
      <c r="F32" s="881"/>
      <c r="G32" s="26"/>
      <c r="H32" s="26"/>
      <c r="I32" s="25"/>
      <c r="J32" s="881"/>
      <c r="K32" s="26"/>
      <c r="L32" s="26"/>
      <c r="M32" s="25"/>
      <c r="N32" s="881"/>
      <c r="O32" s="26"/>
      <c r="P32" s="26"/>
      <c r="Q32" s="27"/>
    </row>
    <row r="33" spans="1:17" customFormat="1" ht="22.5" hidden="1" customHeight="1">
      <c r="A33" s="882" t="s">
        <v>7</v>
      </c>
      <c r="B33" s="883">
        <v>2630</v>
      </c>
      <c r="C33" s="883">
        <v>243</v>
      </c>
      <c r="D33" s="883"/>
      <c r="E33" s="883"/>
      <c r="F33" s="881"/>
      <c r="G33" s="26"/>
      <c r="H33" s="26"/>
      <c r="I33" s="883"/>
      <c r="J33" s="881"/>
      <c r="K33" s="26"/>
      <c r="L33" s="26"/>
      <c r="M33" s="883"/>
      <c r="N33" s="881"/>
      <c r="O33" s="26"/>
      <c r="P33" s="26"/>
      <c r="Q33" s="884"/>
    </row>
    <row r="34" spans="1:17" customFormat="1" ht="22.5" hidden="1" customHeight="1">
      <c r="A34" s="882"/>
      <c r="B34" s="883"/>
      <c r="C34" s="883"/>
      <c r="D34" s="883"/>
      <c r="E34" s="883"/>
      <c r="F34" s="26"/>
      <c r="G34" s="26"/>
      <c r="H34" s="26"/>
      <c r="I34" s="883"/>
      <c r="J34" s="26"/>
      <c r="K34" s="26"/>
      <c r="L34" s="26"/>
      <c r="M34" s="883"/>
      <c r="N34" s="26"/>
      <c r="O34" s="26"/>
      <c r="P34" s="26"/>
      <c r="Q34" s="884"/>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1:M1"/>
    <mergeCell ref="I3:Q3"/>
    <mergeCell ref="I4:M4"/>
    <mergeCell ref="A20:Q20"/>
    <mergeCell ref="I7:Q7"/>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263</v>
      </c>
    </row>
    <row r="3" spans="1:16">
      <c r="A3" s="75" t="s">
        <v>264</v>
      </c>
    </row>
    <row r="4" spans="1:16" s="77" customFormat="1" hidden="1">
      <c r="A4" s="77" t="s">
        <v>251</v>
      </c>
    </row>
    <row r="5" spans="1:16" hidden="1">
      <c r="B5" s="75" t="s">
        <v>482</v>
      </c>
    </row>
    <row r="6" spans="1:16" hidden="1">
      <c r="A6" s="75" t="s">
        <v>239</v>
      </c>
    </row>
    <row r="7" spans="1:16" hidden="1">
      <c r="A7" s="75" t="s">
        <v>265</v>
      </c>
    </row>
    <row r="8" spans="1:16" hidden="1">
      <c r="A8" s="75" t="s">
        <v>266</v>
      </c>
    </row>
    <row r="9" spans="1:16" ht="25.5" hidden="1" customHeight="1">
      <c r="A9" s="1055" t="s">
        <v>179</v>
      </c>
      <c r="B9" s="1055" t="s">
        <v>247</v>
      </c>
      <c r="C9" s="1037" t="s">
        <v>267</v>
      </c>
      <c r="D9" s="1057"/>
      <c r="E9" s="1057"/>
      <c r="F9" s="1038"/>
      <c r="G9" s="1037" t="s">
        <v>268</v>
      </c>
      <c r="H9" s="1057"/>
      <c r="I9" s="1057"/>
      <c r="J9" s="1038"/>
      <c r="K9" s="1037" t="s">
        <v>269</v>
      </c>
      <c r="L9" s="1057"/>
      <c r="M9" s="1057"/>
      <c r="N9" s="1038"/>
    </row>
    <row r="10" spans="1:16" ht="63.75" hidden="1">
      <c r="A10" s="1056"/>
      <c r="B10" s="1056"/>
      <c r="C10" s="728" t="s">
        <v>248</v>
      </c>
      <c r="D10" s="728" t="s">
        <v>259</v>
      </c>
      <c r="E10" s="728" t="s">
        <v>249</v>
      </c>
      <c r="F10" s="728" t="s">
        <v>250</v>
      </c>
      <c r="G10" s="728" t="s">
        <v>270</v>
      </c>
      <c r="H10" s="728" t="s">
        <v>259</v>
      </c>
      <c r="I10" s="728" t="s">
        <v>249</v>
      </c>
      <c r="J10" s="728" t="s">
        <v>250</v>
      </c>
      <c r="K10" s="728" t="s">
        <v>271</v>
      </c>
      <c r="L10" s="728" t="s">
        <v>259</v>
      </c>
      <c r="M10" s="728" t="s">
        <v>249</v>
      </c>
      <c r="N10" s="728" t="s">
        <v>250</v>
      </c>
    </row>
    <row r="11" spans="1:16" hidden="1">
      <c r="A11" s="728"/>
      <c r="B11" s="728"/>
      <c r="C11" s="90"/>
      <c r="D11" s="90"/>
      <c r="E11" s="90"/>
      <c r="F11" s="90"/>
      <c r="G11" s="90"/>
      <c r="H11" s="90"/>
      <c r="I11" s="90"/>
      <c r="J11" s="90"/>
      <c r="K11" s="90"/>
      <c r="L11" s="90"/>
      <c r="M11" s="90"/>
      <c r="N11" s="90"/>
    </row>
    <row r="12" spans="1:16">
      <c r="P12" s="75" t="s">
        <v>272</v>
      </c>
    </row>
    <row r="13" spans="1:16" s="84" customFormat="1">
      <c r="A13" s="84" t="s">
        <v>243</v>
      </c>
      <c r="D13" s="264"/>
    </row>
    <row r="15" spans="1:16">
      <c r="A15" s="75" t="s">
        <v>244</v>
      </c>
    </row>
    <row r="16" spans="1:16">
      <c r="A16" s="75" t="s">
        <v>865</v>
      </c>
    </row>
    <row r="17" spans="1:14">
      <c r="A17" s="75" t="s">
        <v>252</v>
      </c>
    </row>
    <row r="19" spans="1:14" ht="30.75" customHeight="1">
      <c r="A19" s="1043" t="s">
        <v>179</v>
      </c>
      <c r="B19" s="1043" t="s">
        <v>247</v>
      </c>
      <c r="C19" s="1043" t="s">
        <v>626</v>
      </c>
      <c r="D19" s="1043"/>
      <c r="E19" s="1043"/>
      <c r="F19" s="1043"/>
      <c r="G19" s="1043" t="s">
        <v>627</v>
      </c>
      <c r="H19" s="1043"/>
      <c r="I19" s="1043"/>
      <c r="J19" s="1043"/>
      <c r="K19" s="1043" t="s">
        <v>628</v>
      </c>
      <c r="L19" s="1043"/>
      <c r="M19" s="1043"/>
      <c r="N19" s="1043"/>
    </row>
    <row r="20" spans="1:14" ht="85.5" customHeight="1">
      <c r="A20" s="1043"/>
      <c r="B20" s="1043"/>
      <c r="C20" s="728" t="s">
        <v>248</v>
      </c>
      <c r="D20" s="728" t="s">
        <v>495</v>
      </c>
      <c r="E20" s="728" t="s">
        <v>494</v>
      </c>
      <c r="F20" s="728" t="s">
        <v>250</v>
      </c>
      <c r="G20" s="728" t="s">
        <v>248</v>
      </c>
      <c r="H20" s="728" t="s">
        <v>495</v>
      </c>
      <c r="I20" s="728" t="s">
        <v>494</v>
      </c>
      <c r="J20" s="728" t="s">
        <v>250</v>
      </c>
      <c r="K20" s="728" t="s">
        <v>248</v>
      </c>
      <c r="L20" s="728" t="s">
        <v>495</v>
      </c>
      <c r="M20" s="728" t="s">
        <v>494</v>
      </c>
      <c r="N20" s="728" t="s">
        <v>250</v>
      </c>
    </row>
    <row r="21" spans="1:14" ht="48" customHeight="1">
      <c r="A21" s="728">
        <v>1</v>
      </c>
      <c r="B21" s="734" t="s">
        <v>926</v>
      </c>
      <c r="C21" s="87" t="s">
        <v>496</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927</v>
      </c>
      <c r="C22" s="729" t="s">
        <v>26</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408</v>
      </c>
      <c r="B23" s="805" t="s">
        <v>928</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830</v>
      </c>
      <c r="B24" s="805" t="s">
        <v>929</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930</v>
      </c>
      <c r="C25" s="729" t="s">
        <v>26</v>
      </c>
      <c r="D25" s="281">
        <v>1</v>
      </c>
      <c r="E25" s="281">
        <v>1</v>
      </c>
      <c r="F25" s="290">
        <f>F26+F27</f>
        <v>25257.3</v>
      </c>
      <c r="G25" s="290">
        <v>0</v>
      </c>
      <c r="H25" s="734">
        <v>0</v>
      </c>
      <c r="I25" s="734">
        <v>0</v>
      </c>
      <c r="J25" s="96">
        <v>0</v>
      </c>
      <c r="K25" s="96">
        <v>0</v>
      </c>
      <c r="L25" s="734">
        <v>0</v>
      </c>
      <c r="M25" s="734">
        <v>0</v>
      </c>
      <c r="N25" s="96">
        <v>0</v>
      </c>
    </row>
    <row r="26" spans="1:14" s="809" customFormat="1">
      <c r="A26" s="805" t="s">
        <v>933</v>
      </c>
      <c r="B26" s="805" t="s">
        <v>931</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934</v>
      </c>
      <c r="B27" s="805" t="s">
        <v>932</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927</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257</v>
      </c>
      <c r="C29" s="810" t="s">
        <v>26</v>
      </c>
      <c r="D29" s="810" t="s">
        <v>26</v>
      </c>
      <c r="E29" s="810" t="s">
        <v>26</v>
      </c>
      <c r="F29" s="811">
        <f>F21+F22+F25+F28</f>
        <v>385257.3</v>
      </c>
      <c r="G29" s="810" t="s">
        <v>26</v>
      </c>
      <c r="H29" s="810" t="s">
        <v>26</v>
      </c>
      <c r="I29" s="810" t="s">
        <v>26</v>
      </c>
      <c r="J29" s="68">
        <f>SUM(J21:J22)</f>
        <v>0</v>
      </c>
      <c r="K29" s="810" t="s">
        <v>26</v>
      </c>
      <c r="L29" s="810" t="s">
        <v>26</v>
      </c>
      <c r="M29" s="810" t="s">
        <v>26</v>
      </c>
      <c r="N29" s="68">
        <f>SUM(N21:N22)</f>
        <v>0</v>
      </c>
    </row>
    <row r="30" spans="1:14">
      <c r="F30" s="78"/>
      <c r="J30" s="78"/>
      <c r="N30" s="78"/>
    </row>
    <row r="31" spans="1:14" s="84" customFormat="1"/>
    <row r="33" spans="1:11">
      <c r="F33" s="78">
        <f>F22+F25+F28</f>
        <v>332657.3</v>
      </c>
    </row>
    <row r="35" spans="1:11" ht="29.25" customHeight="1">
      <c r="A35" s="1058"/>
      <c r="B35" s="1058"/>
      <c r="C35" s="1058"/>
      <c r="D35" s="1058"/>
      <c r="E35" s="1058"/>
      <c r="F35" s="1058"/>
      <c r="G35" s="1058"/>
      <c r="H35" s="1058"/>
      <c r="I35" s="1058"/>
      <c r="J35" s="1058"/>
      <c r="K35" s="1058"/>
    </row>
    <row r="36" spans="1:11" ht="51" customHeight="1">
      <c r="A36" s="1058"/>
      <c r="B36" s="1058"/>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35:A36"/>
    <mergeCell ref="B35:B36"/>
    <mergeCell ref="C35:E35"/>
    <mergeCell ref="F35:H35"/>
    <mergeCell ref="I35:K35"/>
    <mergeCell ref="A9:A10"/>
    <mergeCell ref="B9:B10"/>
    <mergeCell ref="C9:F9"/>
    <mergeCell ref="G9:J9"/>
    <mergeCell ref="K9:N9"/>
    <mergeCell ref="A19:A20"/>
    <mergeCell ref="B19:B20"/>
    <mergeCell ref="C19:F19"/>
    <mergeCell ref="G19:J19"/>
    <mergeCell ref="K19:N19"/>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293</v>
      </c>
      <c r="B1" s="538"/>
      <c r="C1" s="538"/>
      <c r="D1" s="538"/>
      <c r="E1" s="538"/>
      <c r="F1" s="538"/>
      <c r="G1" s="538"/>
      <c r="H1" s="538"/>
      <c r="I1" s="538"/>
      <c r="J1" s="538"/>
      <c r="K1" s="538"/>
      <c r="L1" s="538"/>
      <c r="M1" s="538"/>
      <c r="N1" s="538"/>
      <c r="O1" s="538"/>
    </row>
    <row r="2" spans="1:16380" s="463" customFormat="1">
      <c r="A2" s="539" t="s">
        <v>238</v>
      </c>
      <c r="B2" s="540"/>
      <c r="C2" s="540"/>
      <c r="D2" s="540"/>
      <c r="E2" s="540"/>
      <c r="F2" s="540"/>
      <c r="G2" s="540"/>
      <c r="H2" s="540"/>
      <c r="I2" s="540"/>
      <c r="J2" s="540"/>
      <c r="K2" s="540"/>
      <c r="L2" s="540"/>
      <c r="M2" s="540"/>
      <c r="N2" s="540"/>
      <c r="O2" s="540"/>
    </row>
    <row r="3" spans="1:16380" s="464" customFormat="1">
      <c r="A3" s="374" t="s">
        <v>239</v>
      </c>
      <c r="B3" s="538"/>
      <c r="C3" s="538"/>
      <c r="D3" s="538"/>
      <c r="E3" s="538"/>
      <c r="F3" s="538"/>
      <c r="G3" s="538"/>
      <c r="H3" s="538"/>
      <c r="I3" s="538"/>
      <c r="J3" s="538"/>
      <c r="K3" s="538"/>
      <c r="L3" s="538"/>
      <c r="M3" s="538"/>
      <c r="N3" s="538"/>
      <c r="O3" s="538"/>
    </row>
    <row r="4" spans="1:16380" s="464" customFormat="1">
      <c r="A4" s="374" t="s">
        <v>866</v>
      </c>
      <c r="B4" s="538"/>
      <c r="C4" s="538"/>
      <c r="D4" s="538"/>
      <c r="E4" s="538"/>
      <c r="F4" s="538"/>
      <c r="G4" s="538"/>
      <c r="H4" s="538"/>
      <c r="I4" s="538"/>
      <c r="J4" s="538"/>
      <c r="K4" s="538"/>
      <c r="L4" s="538"/>
      <c r="M4" s="538"/>
      <c r="N4" s="538"/>
      <c r="O4" s="538"/>
    </row>
    <row r="5" spans="1:16380" s="464" customFormat="1">
      <c r="A5" s="374" t="s">
        <v>252</v>
      </c>
      <c r="B5" s="538"/>
      <c r="C5" s="538"/>
      <c r="D5" s="578"/>
      <c r="E5" s="538"/>
      <c r="F5" s="538"/>
      <c r="G5" s="538"/>
      <c r="H5" s="538"/>
      <c r="I5" s="538"/>
      <c r="J5" s="538"/>
      <c r="K5" s="538"/>
      <c r="L5" s="538"/>
      <c r="M5" s="538"/>
      <c r="N5" s="538"/>
      <c r="O5" s="538"/>
    </row>
    <row r="6" spans="1:16380" s="464" customFormat="1">
      <c r="A6" s="1072" t="s">
        <v>179</v>
      </c>
      <c r="B6" s="1072" t="s">
        <v>247</v>
      </c>
      <c r="C6" s="1072" t="s">
        <v>562</v>
      </c>
      <c r="D6" s="1072"/>
      <c r="E6" s="1072"/>
      <c r="F6" s="1072"/>
      <c r="G6" s="1072" t="s">
        <v>563</v>
      </c>
      <c r="H6" s="1072"/>
      <c r="I6" s="1072"/>
      <c r="J6" s="1072"/>
      <c r="K6" s="1072" t="s">
        <v>564</v>
      </c>
      <c r="L6" s="1072"/>
      <c r="M6" s="1072"/>
      <c r="N6" s="1072"/>
      <c r="O6" s="538"/>
    </row>
    <row r="7" spans="1:16380" s="464" customFormat="1" ht="65.25" customHeight="1">
      <c r="A7" s="1072"/>
      <c r="B7" s="1072"/>
      <c r="C7" s="705" t="s">
        <v>294</v>
      </c>
      <c r="D7" s="1073" t="s">
        <v>295</v>
      </c>
      <c r="E7" s="1074"/>
      <c r="F7" s="705" t="s">
        <v>296</v>
      </c>
      <c r="G7" s="705" t="s">
        <v>294</v>
      </c>
      <c r="H7" s="1073" t="s">
        <v>295</v>
      </c>
      <c r="I7" s="1074"/>
      <c r="J7" s="705" t="s">
        <v>296</v>
      </c>
      <c r="K7" s="705" t="s">
        <v>294</v>
      </c>
      <c r="L7" s="1073" t="s">
        <v>295</v>
      </c>
      <c r="M7" s="1074"/>
      <c r="N7" s="705" t="s">
        <v>296</v>
      </c>
      <c r="O7" s="538"/>
      <c r="P7" s="464" t="s">
        <v>297</v>
      </c>
    </row>
    <row r="8" spans="1:16380" s="464" customFormat="1" ht="38.25">
      <c r="A8" s="705">
        <v>1</v>
      </c>
      <c r="B8" s="706" t="s">
        <v>574</v>
      </c>
      <c r="C8" s="88" t="s">
        <v>26</v>
      </c>
      <c r="D8" s="1059" t="s">
        <v>26</v>
      </c>
      <c r="E8" s="1060"/>
      <c r="F8" s="88">
        <v>800</v>
      </c>
      <c r="G8" s="88" t="s">
        <v>26</v>
      </c>
      <c r="H8" s="1059" t="s">
        <v>26</v>
      </c>
      <c r="I8" s="1060"/>
      <c r="J8" s="88">
        <v>0</v>
      </c>
      <c r="K8" s="88" t="s">
        <v>26</v>
      </c>
      <c r="L8" s="1059" t="s">
        <v>26</v>
      </c>
      <c r="M8" s="1060"/>
      <c r="N8" s="88">
        <v>0</v>
      </c>
      <c r="O8" s="538"/>
    </row>
    <row r="9" spans="1:16380" s="464" customFormat="1" ht="38.25">
      <c r="A9" s="705">
        <v>2</v>
      </c>
      <c r="B9" s="706" t="s">
        <v>878</v>
      </c>
      <c r="C9" s="88">
        <v>33377286.77</v>
      </c>
      <c r="D9" s="1075">
        <v>1.5E-3</v>
      </c>
      <c r="E9" s="1076"/>
      <c r="F9" s="88">
        <v>50065.93</v>
      </c>
      <c r="G9" s="88">
        <v>24782092.879999999</v>
      </c>
      <c r="H9" s="1075">
        <v>1.5E-3</v>
      </c>
      <c r="I9" s="1076"/>
      <c r="J9" s="88">
        <v>37173.14</v>
      </c>
      <c r="K9" s="88">
        <v>31978747.210000001</v>
      </c>
      <c r="L9" s="1075">
        <v>1.5E-3</v>
      </c>
      <c r="M9" s="1076"/>
      <c r="N9" s="88">
        <v>40682.78</v>
      </c>
      <c r="O9" s="538"/>
    </row>
    <row r="10" spans="1:16380" s="464" customFormat="1">
      <c r="A10" s="705"/>
      <c r="B10" s="705" t="s">
        <v>257</v>
      </c>
      <c r="C10" s="88" t="s">
        <v>26</v>
      </c>
      <c r="D10" s="1059" t="s">
        <v>26</v>
      </c>
      <c r="E10" s="1060"/>
      <c r="F10" s="88">
        <f>SUM(F8:F9)</f>
        <v>50865.93</v>
      </c>
      <c r="G10" s="88" t="s">
        <v>26</v>
      </c>
      <c r="H10" s="1059" t="s">
        <v>26</v>
      </c>
      <c r="I10" s="1060"/>
      <c r="J10" s="88">
        <f>J9</f>
        <v>37173.14</v>
      </c>
      <c r="K10" s="88" t="s">
        <v>26</v>
      </c>
      <c r="L10" s="1059" t="s">
        <v>26</v>
      </c>
      <c r="M10" s="1060"/>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243</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244</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865</v>
      </c>
      <c r="B14" s="538"/>
      <c r="C14" s="538"/>
      <c r="D14" s="538"/>
      <c r="E14" s="538"/>
      <c r="F14" s="538"/>
      <c r="G14" s="538"/>
      <c r="H14" s="538"/>
      <c r="I14" s="538"/>
      <c r="J14" s="538"/>
      <c r="K14" s="538"/>
      <c r="L14" s="538"/>
      <c r="M14" s="538"/>
      <c r="N14" s="538"/>
      <c r="O14" s="538"/>
    </row>
    <row r="15" spans="1:16380" s="464" customFormat="1">
      <c r="A15" s="374" t="s">
        <v>252</v>
      </c>
      <c r="B15" s="538"/>
      <c r="C15" s="538"/>
      <c r="D15" s="538"/>
      <c r="E15" s="538"/>
      <c r="F15" s="538"/>
      <c r="G15" s="538"/>
      <c r="H15" s="538"/>
      <c r="I15" s="538"/>
      <c r="J15" s="538"/>
      <c r="K15" s="538"/>
      <c r="L15" s="538"/>
      <c r="M15" s="538"/>
      <c r="N15" s="538"/>
      <c r="O15" s="538"/>
    </row>
    <row r="16" spans="1:16380" s="464" customFormat="1">
      <c r="A16" s="1072" t="s">
        <v>179</v>
      </c>
      <c r="B16" s="1072" t="s">
        <v>247</v>
      </c>
      <c r="C16" s="1072" t="s">
        <v>562</v>
      </c>
      <c r="D16" s="1072"/>
      <c r="E16" s="1072"/>
      <c r="F16" s="1072"/>
      <c r="G16" s="1072" t="s">
        <v>563</v>
      </c>
      <c r="H16" s="1072"/>
      <c r="I16" s="1072"/>
      <c r="J16" s="1072"/>
      <c r="K16" s="1072" t="s">
        <v>564</v>
      </c>
      <c r="L16" s="1072"/>
      <c r="M16" s="1072"/>
      <c r="N16" s="1072"/>
      <c r="O16" s="538"/>
    </row>
    <row r="17" spans="1:15" s="464" customFormat="1" ht="63.75">
      <c r="A17" s="1072"/>
      <c r="B17" s="1072"/>
      <c r="C17" s="705" t="s">
        <v>294</v>
      </c>
      <c r="D17" s="1073" t="s">
        <v>295</v>
      </c>
      <c r="E17" s="1074"/>
      <c r="F17" s="705" t="s">
        <v>296</v>
      </c>
      <c r="G17" s="705" t="s">
        <v>294</v>
      </c>
      <c r="H17" s="1073" t="s">
        <v>295</v>
      </c>
      <c r="I17" s="1074"/>
      <c r="J17" s="705" t="s">
        <v>296</v>
      </c>
      <c r="K17" s="705" t="s">
        <v>294</v>
      </c>
      <c r="L17" s="1073" t="s">
        <v>295</v>
      </c>
      <c r="M17" s="1074"/>
      <c r="N17" s="705" t="s">
        <v>296</v>
      </c>
      <c r="O17" s="538"/>
    </row>
    <row r="18" spans="1:15" s="464" customFormat="1" ht="76.5">
      <c r="A18" s="705">
        <v>1</v>
      </c>
      <c r="B18" s="706" t="s">
        <v>881</v>
      </c>
      <c r="C18" s="88" t="s">
        <v>26</v>
      </c>
      <c r="D18" s="1059" t="s">
        <v>26</v>
      </c>
      <c r="E18" s="1060"/>
      <c r="F18" s="88">
        <v>588924.12</v>
      </c>
      <c r="G18" s="88" t="s">
        <v>26</v>
      </c>
      <c r="H18" s="1059" t="s">
        <v>26</v>
      </c>
      <c r="I18" s="1060"/>
      <c r="J18" s="580">
        <v>0</v>
      </c>
      <c r="K18" s="88" t="s">
        <v>26</v>
      </c>
      <c r="L18" s="1059" t="s">
        <v>26</v>
      </c>
      <c r="M18" s="1060"/>
      <c r="N18" s="580">
        <v>0</v>
      </c>
      <c r="O18" s="538"/>
    </row>
    <row r="19" spans="1:15" s="464" customFormat="1" ht="51">
      <c r="A19" s="705">
        <v>2</v>
      </c>
      <c r="B19" s="706" t="s">
        <v>880</v>
      </c>
      <c r="C19" s="88" t="s">
        <v>26</v>
      </c>
      <c r="D19" s="1059" t="s">
        <v>26</v>
      </c>
      <c r="E19" s="1060"/>
      <c r="F19" s="88">
        <v>0</v>
      </c>
      <c r="G19" s="88" t="s">
        <v>26</v>
      </c>
      <c r="H19" s="1059" t="s">
        <v>26</v>
      </c>
      <c r="I19" s="1060"/>
      <c r="J19" s="580">
        <v>0</v>
      </c>
      <c r="K19" s="88" t="s">
        <v>26</v>
      </c>
      <c r="L19" s="1059" t="s">
        <v>26</v>
      </c>
      <c r="M19" s="1060"/>
      <c r="N19" s="580">
        <v>0</v>
      </c>
      <c r="O19" s="538"/>
    </row>
    <row r="20" spans="1:15" s="464" customFormat="1" ht="38.25">
      <c r="A20" s="705">
        <v>3</v>
      </c>
      <c r="B20" s="706" t="s">
        <v>879</v>
      </c>
      <c r="C20" s="88">
        <v>4526126.91</v>
      </c>
      <c r="D20" s="1075">
        <v>1.5E-3</v>
      </c>
      <c r="E20" s="1076"/>
      <c r="F20" s="88">
        <v>6460.4</v>
      </c>
      <c r="G20" s="88">
        <v>4892473.47</v>
      </c>
      <c r="H20" s="1075">
        <v>1.5E-3</v>
      </c>
      <c r="I20" s="1076"/>
      <c r="J20" s="88">
        <v>6460.4</v>
      </c>
      <c r="K20" s="88">
        <v>4856891.72</v>
      </c>
      <c r="L20" s="1075">
        <v>1.5E-3</v>
      </c>
      <c r="M20" s="1076"/>
      <c r="N20" s="88">
        <v>6460.4</v>
      </c>
      <c r="O20" s="538"/>
    </row>
    <row r="21" spans="1:15" s="464" customFormat="1" hidden="1">
      <c r="A21" s="705"/>
      <c r="B21" s="706"/>
      <c r="C21" s="88"/>
      <c r="D21" s="1059"/>
      <c r="E21" s="1060"/>
      <c r="F21" s="88"/>
      <c r="G21" s="88"/>
      <c r="H21" s="1059"/>
      <c r="I21" s="1060"/>
      <c r="J21" s="580"/>
      <c r="K21" s="88"/>
      <c r="L21" s="1059"/>
      <c r="M21" s="1060"/>
      <c r="N21" s="580"/>
      <c r="O21" s="538"/>
    </row>
    <row r="22" spans="1:15" s="464" customFormat="1">
      <c r="A22" s="705"/>
      <c r="B22" s="705" t="s">
        <v>257</v>
      </c>
      <c r="C22" s="88" t="s">
        <v>26</v>
      </c>
      <c r="D22" s="1059" t="s">
        <v>26</v>
      </c>
      <c r="E22" s="1060"/>
      <c r="F22" s="88">
        <f>SUM(F20:F21)</f>
        <v>6460.4</v>
      </c>
      <c r="G22" s="88" t="s">
        <v>26</v>
      </c>
      <c r="H22" s="1059" t="s">
        <v>26</v>
      </c>
      <c r="I22" s="1060"/>
      <c r="J22" s="88">
        <f>SUM(J20:J20)</f>
        <v>6460.4</v>
      </c>
      <c r="K22" s="88" t="s">
        <v>26</v>
      </c>
      <c r="L22" s="1059" t="s">
        <v>26</v>
      </c>
      <c r="M22" s="1060"/>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301</v>
      </c>
      <c r="B24" s="538"/>
      <c r="C24" s="538"/>
      <c r="D24" s="538"/>
      <c r="E24" s="538"/>
      <c r="F24" s="538"/>
      <c r="G24" s="538"/>
      <c r="H24" s="538"/>
      <c r="I24" s="538"/>
      <c r="J24" s="538"/>
      <c r="K24" s="538"/>
      <c r="L24" s="538"/>
      <c r="M24" s="538"/>
      <c r="N24" s="538"/>
      <c r="O24" s="538"/>
    </row>
    <row r="25" spans="1:15" hidden="1">
      <c r="A25" s="374" t="s">
        <v>291</v>
      </c>
      <c r="B25" s="538"/>
      <c r="C25" s="538"/>
      <c r="D25" s="538"/>
      <c r="E25" s="538"/>
      <c r="F25" s="538"/>
      <c r="G25" s="538"/>
      <c r="H25" s="538"/>
      <c r="I25" s="538"/>
      <c r="J25" s="538"/>
      <c r="K25" s="538"/>
      <c r="L25" s="538"/>
      <c r="M25" s="538"/>
      <c r="N25" s="538"/>
      <c r="O25" s="538"/>
    </row>
    <row r="26" spans="1:15" ht="25.5" hidden="1" customHeight="1">
      <c r="A26" s="583" t="s">
        <v>292</v>
      </c>
      <c r="B26" s="538"/>
      <c r="C26" s="538"/>
      <c r="D26" s="538"/>
      <c r="E26" s="538"/>
      <c r="F26" s="538"/>
      <c r="G26" s="538"/>
      <c r="H26" s="538"/>
      <c r="I26" s="538"/>
      <c r="J26" s="538"/>
      <c r="K26" s="538"/>
      <c r="L26" s="538"/>
      <c r="M26" s="538"/>
      <c r="N26" s="538"/>
      <c r="O26" s="538"/>
    </row>
    <row r="27" spans="1:15" ht="31.5" hidden="1" customHeight="1">
      <c r="A27" s="1072" t="s">
        <v>179</v>
      </c>
      <c r="B27" s="1072" t="s">
        <v>247</v>
      </c>
      <c r="C27" s="1072" t="s">
        <v>277</v>
      </c>
      <c r="D27" s="1072"/>
      <c r="E27" s="705"/>
      <c r="F27" s="1072" t="s">
        <v>278</v>
      </c>
      <c r="G27" s="1072"/>
      <c r="H27" s="1072" t="s">
        <v>279</v>
      </c>
      <c r="I27" s="1072"/>
      <c r="J27" s="1072"/>
      <c r="K27" s="538"/>
      <c r="L27" s="538"/>
      <c r="M27" s="538"/>
      <c r="N27" s="538"/>
      <c r="O27" s="538"/>
    </row>
    <row r="28" spans="1:15" ht="25.5" hidden="1" customHeight="1">
      <c r="A28" s="1072"/>
      <c r="B28" s="1072"/>
      <c r="C28" s="1072" t="s">
        <v>302</v>
      </c>
      <c r="D28" s="705" t="s">
        <v>303</v>
      </c>
      <c r="E28" s="705"/>
      <c r="F28" s="1072" t="s">
        <v>302</v>
      </c>
      <c r="G28" s="705" t="s">
        <v>303</v>
      </c>
      <c r="H28" s="1072" t="s">
        <v>302</v>
      </c>
      <c r="I28" s="705"/>
      <c r="J28" s="705" t="s">
        <v>303</v>
      </c>
      <c r="K28" s="538"/>
      <c r="L28" s="538"/>
      <c r="M28" s="538"/>
      <c r="N28" s="538"/>
      <c r="O28" s="538"/>
    </row>
    <row r="29" spans="1:15" hidden="1">
      <c r="A29" s="1072"/>
      <c r="B29" s="1072"/>
      <c r="C29" s="1072"/>
      <c r="D29" s="705" t="s">
        <v>304</v>
      </c>
      <c r="E29" s="705"/>
      <c r="F29" s="1072"/>
      <c r="G29" s="705" t="s">
        <v>304</v>
      </c>
      <c r="H29" s="1072"/>
      <c r="I29" s="705"/>
      <c r="J29" s="705" t="s">
        <v>304</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A6:A7"/>
    <mergeCell ref="B6:B7"/>
    <mergeCell ref="C6:F6"/>
    <mergeCell ref="G6:J6"/>
    <mergeCell ref="K6:N6"/>
    <mergeCell ref="D7:E7"/>
    <mergeCell ref="H7:I7"/>
    <mergeCell ref="L7:M7"/>
    <mergeCell ref="D10:E10"/>
    <mergeCell ref="H10:I10"/>
    <mergeCell ref="L10:M10"/>
    <mergeCell ref="D8:E8"/>
    <mergeCell ref="H8:I8"/>
    <mergeCell ref="L8:M8"/>
    <mergeCell ref="D9:E9"/>
    <mergeCell ref="H9:I9"/>
    <mergeCell ref="L9:M9"/>
    <mergeCell ref="D19:E19"/>
    <mergeCell ref="H19:I19"/>
    <mergeCell ref="L19:M19"/>
    <mergeCell ref="D18:E18"/>
    <mergeCell ref="H18:I18"/>
    <mergeCell ref="L18:M18"/>
    <mergeCell ref="A16:A17"/>
    <mergeCell ref="B16:B17"/>
    <mergeCell ref="C16:F16"/>
    <mergeCell ref="G16:J16"/>
    <mergeCell ref="K16:N16"/>
    <mergeCell ref="D17:E17"/>
    <mergeCell ref="H17:I17"/>
    <mergeCell ref="L17:M17"/>
    <mergeCell ref="A27:A29"/>
    <mergeCell ref="B27:B29"/>
    <mergeCell ref="C27:D27"/>
    <mergeCell ref="F27:G27"/>
    <mergeCell ref="H27:J27"/>
    <mergeCell ref="C28:C29"/>
    <mergeCell ref="F28:F29"/>
    <mergeCell ref="H28:H29"/>
    <mergeCell ref="D20:E20"/>
    <mergeCell ref="D21:E21"/>
    <mergeCell ref="H21:I21"/>
    <mergeCell ref="L21:M21"/>
    <mergeCell ref="D22:E22"/>
    <mergeCell ref="H22:I22"/>
    <mergeCell ref="L22:M22"/>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305</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306</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238</v>
      </c>
      <c r="B5" s="540"/>
      <c r="C5" s="540"/>
      <c r="D5" s="540"/>
      <c r="E5" s="540"/>
      <c r="F5" s="540"/>
      <c r="G5" s="540"/>
      <c r="H5" s="540"/>
      <c r="I5" s="540"/>
      <c r="J5" s="540"/>
      <c r="K5" s="540"/>
      <c r="L5" s="540"/>
      <c r="M5" s="540"/>
      <c r="N5" s="540"/>
      <c r="O5" s="540"/>
    </row>
    <row r="6" spans="1:15" s="464" customFormat="1" ht="15.75" customHeight="1">
      <c r="A6" s="374" t="s">
        <v>239</v>
      </c>
      <c r="B6" s="538"/>
      <c r="C6" s="538"/>
      <c r="D6" s="538"/>
      <c r="E6" s="538"/>
      <c r="F6" s="538"/>
      <c r="G6" s="538"/>
      <c r="H6" s="538"/>
      <c r="I6" s="538"/>
      <c r="J6" s="538"/>
      <c r="K6" s="538"/>
      <c r="L6" s="538"/>
      <c r="M6" s="538"/>
      <c r="N6" s="538"/>
      <c r="O6" s="538"/>
    </row>
    <row r="7" spans="1:15" s="464" customFormat="1" ht="15.75" customHeight="1">
      <c r="A7" s="374" t="s">
        <v>866</v>
      </c>
      <c r="B7" s="538"/>
      <c r="C7" s="538"/>
      <c r="D7" s="538"/>
      <c r="E7" s="538"/>
      <c r="F7" s="538"/>
      <c r="G7" s="538"/>
      <c r="H7" s="538"/>
      <c r="I7" s="538"/>
      <c r="J7" s="538"/>
      <c r="K7" s="538"/>
      <c r="L7" s="538"/>
      <c r="M7" s="538"/>
      <c r="N7" s="538"/>
      <c r="O7" s="538"/>
    </row>
    <row r="8" spans="1:15" s="464" customFormat="1">
      <c r="A8" s="374" t="s">
        <v>307</v>
      </c>
      <c r="B8" s="538"/>
      <c r="C8" s="538"/>
      <c r="D8" s="538"/>
      <c r="E8" s="538"/>
      <c r="F8" s="538"/>
      <c r="G8" s="538"/>
      <c r="H8" s="538"/>
      <c r="I8" s="538"/>
      <c r="J8" s="538"/>
      <c r="K8" s="538"/>
      <c r="L8" s="538"/>
      <c r="M8" s="538"/>
      <c r="N8" s="538"/>
      <c r="O8" s="538"/>
    </row>
    <row r="9" spans="1:15" s="464" customFormat="1" ht="15" customHeight="1">
      <c r="A9" s="1085" t="s">
        <v>179</v>
      </c>
      <c r="B9" s="1085" t="s">
        <v>247</v>
      </c>
      <c r="C9" s="1085" t="s">
        <v>215</v>
      </c>
      <c r="D9" s="1073" t="s">
        <v>562</v>
      </c>
      <c r="E9" s="1086"/>
      <c r="F9" s="1086"/>
      <c r="G9" s="1074"/>
      <c r="H9" s="1073" t="s">
        <v>563</v>
      </c>
      <c r="I9" s="1086"/>
      <c r="J9" s="1086"/>
      <c r="K9" s="1074"/>
      <c r="L9" s="1073" t="s">
        <v>564</v>
      </c>
      <c r="M9" s="1086"/>
      <c r="N9" s="1086"/>
      <c r="O9" s="1074"/>
    </row>
    <row r="10" spans="1:15" s="464" customFormat="1" ht="15" customHeight="1">
      <c r="A10" s="1122"/>
      <c r="B10" s="1122"/>
      <c r="C10" s="1122"/>
      <c r="D10" s="1085" t="s">
        <v>308</v>
      </c>
      <c r="E10" s="1085" t="s">
        <v>309</v>
      </c>
      <c r="F10" s="1085" t="s">
        <v>310</v>
      </c>
      <c r="G10" s="1085" t="s">
        <v>250</v>
      </c>
      <c r="H10" s="1085" t="s">
        <v>308</v>
      </c>
      <c r="I10" s="1085" t="s">
        <v>309</v>
      </c>
      <c r="J10" s="1085" t="s">
        <v>310</v>
      </c>
      <c r="K10" s="1085" t="s">
        <v>311</v>
      </c>
      <c r="L10" s="1085" t="s">
        <v>308</v>
      </c>
      <c r="M10" s="1085" t="s">
        <v>312</v>
      </c>
      <c r="N10" s="1085" t="s">
        <v>310</v>
      </c>
      <c r="O10" s="1085" t="s">
        <v>311</v>
      </c>
    </row>
    <row r="11" spans="1:15" s="464" customFormat="1" ht="6.75" customHeight="1">
      <c r="A11" s="1122"/>
      <c r="B11" s="1122"/>
      <c r="C11" s="1122"/>
      <c r="D11" s="1122"/>
      <c r="E11" s="1122"/>
      <c r="F11" s="1122"/>
      <c r="G11" s="1122"/>
      <c r="H11" s="1122"/>
      <c r="I11" s="1122"/>
      <c r="J11" s="1122"/>
      <c r="K11" s="1122"/>
      <c r="L11" s="1122"/>
      <c r="M11" s="1122"/>
      <c r="N11" s="1122"/>
      <c r="O11" s="1122"/>
    </row>
    <row r="12" spans="1:15" s="464" customFormat="1" ht="18.75" customHeight="1">
      <c r="A12" s="1121"/>
      <c r="B12" s="1121"/>
      <c r="C12" s="1121"/>
      <c r="D12" s="1121"/>
      <c r="E12" s="1121"/>
      <c r="F12" s="1121"/>
      <c r="G12" s="1121"/>
      <c r="H12" s="1121"/>
      <c r="I12" s="1121"/>
      <c r="J12" s="1121"/>
      <c r="K12" s="1121"/>
      <c r="L12" s="1121"/>
      <c r="M12" s="1121"/>
      <c r="N12" s="1121"/>
      <c r="O12" s="1121"/>
    </row>
    <row r="13" spans="1:15" s="464" customFormat="1" ht="45">
      <c r="A13" s="704">
        <v>1</v>
      </c>
      <c r="B13" s="705" t="s">
        <v>313</v>
      </c>
      <c r="C13" s="704" t="s">
        <v>314</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315</v>
      </c>
      <c r="C14" s="704" t="s">
        <v>316</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317</v>
      </c>
      <c r="C15" s="704" t="s">
        <v>316</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85" t="s">
        <v>318</v>
      </c>
      <c r="C16" s="1123" t="s">
        <v>319</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1"/>
      <c r="C17" s="1124"/>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85">
        <v>2</v>
      </c>
      <c r="B18" s="1085" t="s">
        <v>320</v>
      </c>
      <c r="C18" s="1123" t="s">
        <v>321</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1"/>
      <c r="B19" s="1121"/>
      <c r="C19" s="1124"/>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85" t="s">
        <v>322</v>
      </c>
      <c r="C20" s="704" t="s">
        <v>323</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1"/>
      <c r="C21" s="704" t="s">
        <v>323</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257</v>
      </c>
      <c r="C22" s="704" t="s">
        <v>26</v>
      </c>
      <c r="D22" s="705" t="s">
        <v>26</v>
      </c>
      <c r="E22" s="704" t="s">
        <v>26</v>
      </c>
      <c r="F22" s="588" t="s">
        <v>26</v>
      </c>
      <c r="G22" s="588">
        <f>SUM(G13:G21)</f>
        <v>215942.38</v>
      </c>
      <c r="H22" s="588" t="s">
        <v>26</v>
      </c>
      <c r="I22" s="704" t="s">
        <v>26</v>
      </c>
      <c r="J22" s="588" t="s">
        <v>26</v>
      </c>
      <c r="K22" s="588">
        <f>SUM(K13:K21)</f>
        <v>218702.4</v>
      </c>
      <c r="L22" s="704" t="s">
        <v>26</v>
      </c>
      <c r="M22" s="704" t="s">
        <v>26</v>
      </c>
      <c r="N22" s="588" t="s">
        <v>26</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243</v>
      </c>
      <c r="B24" s="544"/>
      <c r="C24" s="544"/>
      <c r="D24" s="544"/>
      <c r="E24" s="544"/>
      <c r="F24" s="544"/>
      <c r="G24" s="544"/>
      <c r="H24" s="544"/>
      <c r="I24" s="544"/>
      <c r="J24" s="544"/>
      <c r="K24" s="544"/>
      <c r="L24" s="544"/>
      <c r="M24" s="544"/>
      <c r="N24" s="544"/>
      <c r="O24" s="544"/>
    </row>
    <row r="25" spans="1:17" hidden="1">
      <c r="A25" s="374" t="s">
        <v>244</v>
      </c>
      <c r="B25" s="538"/>
      <c r="C25" s="538"/>
      <c r="D25" s="538"/>
      <c r="E25" s="538"/>
      <c r="F25" s="538"/>
      <c r="G25" s="538"/>
      <c r="H25" s="538"/>
      <c r="I25" s="538"/>
      <c r="J25" s="538"/>
      <c r="K25" s="538"/>
      <c r="L25" s="538"/>
      <c r="M25" s="538"/>
      <c r="N25" s="538"/>
      <c r="O25" s="538"/>
    </row>
    <row r="26" spans="1:17" hidden="1">
      <c r="A26" s="374" t="s">
        <v>245</v>
      </c>
      <c r="B26" s="538"/>
      <c r="C26" s="538"/>
      <c r="D26" s="538"/>
      <c r="E26" s="538"/>
      <c r="F26" s="538"/>
      <c r="G26" s="538"/>
      <c r="H26" s="538"/>
      <c r="I26" s="538"/>
      <c r="J26" s="538"/>
      <c r="K26" s="538"/>
      <c r="L26" s="538"/>
      <c r="M26" s="538"/>
      <c r="N26" s="538"/>
      <c r="O26" s="538"/>
    </row>
    <row r="27" spans="1:17" hidden="1">
      <c r="A27" s="374" t="s">
        <v>307</v>
      </c>
      <c r="B27" s="538"/>
      <c r="C27" s="538"/>
      <c r="D27" s="538"/>
      <c r="E27" s="538"/>
      <c r="F27" s="538"/>
      <c r="G27" s="538"/>
      <c r="H27" s="538"/>
      <c r="I27" s="538"/>
      <c r="J27" s="538"/>
      <c r="K27" s="538"/>
      <c r="L27" s="538"/>
      <c r="M27" s="538"/>
      <c r="N27" s="538"/>
      <c r="O27" s="538"/>
    </row>
    <row r="28" spans="1:17" ht="27" hidden="1" customHeight="1">
      <c r="A28" s="1085" t="s">
        <v>179</v>
      </c>
      <c r="B28" s="1085" t="s">
        <v>247</v>
      </c>
      <c r="C28" s="1085" t="s">
        <v>215</v>
      </c>
      <c r="D28" s="1073" t="s">
        <v>562</v>
      </c>
      <c r="E28" s="1086"/>
      <c r="F28" s="1086"/>
      <c r="G28" s="1074"/>
      <c r="H28" s="1073" t="s">
        <v>563</v>
      </c>
      <c r="I28" s="1086"/>
      <c r="J28" s="1086"/>
      <c r="K28" s="1074"/>
      <c r="L28" s="1073" t="s">
        <v>564</v>
      </c>
      <c r="M28" s="1086"/>
      <c r="N28" s="1086"/>
      <c r="O28" s="1074"/>
    </row>
    <row r="29" spans="1:17" ht="15" hidden="1" customHeight="1">
      <c r="A29" s="1122"/>
      <c r="B29" s="1122"/>
      <c r="C29" s="1122"/>
      <c r="D29" s="1085" t="s">
        <v>308</v>
      </c>
      <c r="E29" s="1085" t="s">
        <v>309</v>
      </c>
      <c r="F29" s="1085" t="s">
        <v>310</v>
      </c>
      <c r="G29" s="1085" t="s">
        <v>250</v>
      </c>
      <c r="H29" s="1085" t="s">
        <v>308</v>
      </c>
      <c r="I29" s="1085" t="s">
        <v>309</v>
      </c>
      <c r="J29" s="1085" t="s">
        <v>310</v>
      </c>
      <c r="K29" s="1085" t="s">
        <v>311</v>
      </c>
      <c r="L29" s="1085" t="s">
        <v>308</v>
      </c>
      <c r="M29" s="1085" t="s">
        <v>312</v>
      </c>
      <c r="N29" s="1085" t="s">
        <v>310</v>
      </c>
      <c r="O29" s="1085" t="s">
        <v>311</v>
      </c>
    </row>
    <row r="30" spans="1:17" ht="6.75" hidden="1" customHeight="1">
      <c r="A30" s="1122"/>
      <c r="B30" s="1122"/>
      <c r="C30" s="1122"/>
      <c r="D30" s="1122"/>
      <c r="E30" s="1122"/>
      <c r="F30" s="1122"/>
      <c r="G30" s="1122"/>
      <c r="H30" s="1122"/>
      <c r="I30" s="1122"/>
      <c r="J30" s="1122"/>
      <c r="K30" s="1122"/>
      <c r="L30" s="1122"/>
      <c r="M30" s="1122"/>
      <c r="N30" s="1122"/>
      <c r="O30" s="1122"/>
    </row>
    <row r="31" spans="1:17" hidden="1">
      <c r="A31" s="1121"/>
      <c r="B31" s="1121"/>
      <c r="C31" s="1121"/>
      <c r="D31" s="1121"/>
      <c r="E31" s="1121"/>
      <c r="F31" s="1121"/>
      <c r="G31" s="1121"/>
      <c r="H31" s="1121"/>
      <c r="I31" s="1121"/>
      <c r="J31" s="1121"/>
      <c r="K31" s="1121"/>
      <c r="L31" s="1121"/>
      <c r="M31" s="1121"/>
      <c r="N31" s="1121"/>
      <c r="O31" s="1121"/>
    </row>
    <row r="32" spans="1:17" ht="89.25" hidden="1" customHeight="1">
      <c r="A32" s="704">
        <v>1</v>
      </c>
      <c r="B32" s="705" t="s">
        <v>313</v>
      </c>
      <c r="C32" s="704" t="s">
        <v>314</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315</v>
      </c>
      <c r="C33" s="704" t="s">
        <v>316</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317</v>
      </c>
      <c r="C34" s="704" t="s">
        <v>316</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85" t="s">
        <v>318</v>
      </c>
      <c r="C35" s="1123" t="s">
        <v>319</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1"/>
      <c r="C36" s="1124"/>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85">
        <v>2</v>
      </c>
      <c r="B37" s="1085" t="s">
        <v>320</v>
      </c>
      <c r="C37" s="1123" t="s">
        <v>321</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1"/>
      <c r="B38" s="1121"/>
      <c r="C38" s="1124"/>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85" t="s">
        <v>322</v>
      </c>
      <c r="C39" s="704" t="s">
        <v>323</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1"/>
      <c r="C40" s="704" t="s">
        <v>323</v>
      </c>
      <c r="D40" s="704">
        <v>0</v>
      </c>
      <c r="E40" s="704">
        <v>0</v>
      </c>
      <c r="F40" s="588">
        <v>0</v>
      </c>
      <c r="G40" s="588">
        <v>0</v>
      </c>
      <c r="H40" s="704">
        <v>0</v>
      </c>
      <c r="I40" s="704">
        <v>0</v>
      </c>
      <c r="J40" s="588">
        <v>0</v>
      </c>
      <c r="K40" s="588">
        <v>0</v>
      </c>
      <c r="L40" s="704">
        <v>0</v>
      </c>
      <c r="M40" s="704">
        <v>0</v>
      </c>
      <c r="N40" s="588">
        <v>0</v>
      </c>
      <c r="O40" s="588">
        <v>0</v>
      </c>
    </row>
    <row r="41" spans="1:15" hidden="1">
      <c r="A41" s="704"/>
      <c r="B41" s="704" t="s">
        <v>257</v>
      </c>
      <c r="C41" s="704" t="s">
        <v>26</v>
      </c>
      <c r="D41" s="705" t="s">
        <v>26</v>
      </c>
      <c r="E41" s="704" t="s">
        <v>26</v>
      </c>
      <c r="F41" s="588" t="s">
        <v>26</v>
      </c>
      <c r="G41" s="588">
        <f>SUM(G32:G40)</f>
        <v>0</v>
      </c>
      <c r="H41" s="588" t="s">
        <v>26</v>
      </c>
      <c r="I41" s="704" t="s">
        <v>26</v>
      </c>
      <c r="J41" s="588" t="s">
        <v>26</v>
      </c>
      <c r="K41" s="588">
        <f>SUM(K32:K40)</f>
        <v>0</v>
      </c>
      <c r="L41" s="704" t="s">
        <v>26</v>
      </c>
      <c r="M41" s="704" t="s">
        <v>26</v>
      </c>
      <c r="N41" s="588" t="s">
        <v>26</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 ref="A9:A12"/>
    <mergeCell ref="B9:B12"/>
    <mergeCell ref="C9:C12"/>
    <mergeCell ref="B20:B21"/>
    <mergeCell ref="A28:A31"/>
    <mergeCell ref="B28:B31"/>
    <mergeCell ref="C28:C31"/>
    <mergeCell ref="B16:B17"/>
    <mergeCell ref="C16:C17"/>
    <mergeCell ref="A18:A19"/>
    <mergeCell ref="B18:B19"/>
    <mergeCell ref="C18:C19"/>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B39:B40"/>
    <mergeCell ref="M29:M31"/>
    <mergeCell ref="N29:N31"/>
    <mergeCell ref="O29:O31"/>
    <mergeCell ref="B35:B36"/>
    <mergeCell ref="C35:C36"/>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324</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238</v>
      </c>
      <c r="B3" s="540"/>
      <c r="C3" s="540"/>
      <c r="D3" s="540"/>
      <c r="E3" s="540"/>
      <c r="F3" s="540"/>
      <c r="G3" s="540"/>
      <c r="H3" s="540"/>
      <c r="I3" s="540"/>
      <c r="J3" s="540"/>
      <c r="K3" s="540"/>
      <c r="L3" s="540"/>
      <c r="M3" s="540"/>
      <c r="N3" s="540"/>
      <c r="O3" s="591"/>
    </row>
    <row r="4" spans="1:19" s="464" customFormat="1">
      <c r="A4" s="374" t="s">
        <v>239</v>
      </c>
      <c r="B4" s="538"/>
      <c r="C4" s="538"/>
      <c r="D4" s="538"/>
      <c r="E4" s="538"/>
      <c r="F4" s="538"/>
      <c r="G4" s="538"/>
      <c r="H4" s="538"/>
      <c r="I4" s="538"/>
      <c r="J4" s="538"/>
      <c r="K4" s="538"/>
      <c r="L4" s="538"/>
      <c r="M4" s="538"/>
      <c r="N4" s="538"/>
      <c r="O4" s="591"/>
    </row>
    <row r="5" spans="1:19" s="464" customFormat="1">
      <c r="A5" s="374" t="s">
        <v>866</v>
      </c>
      <c r="B5" s="538"/>
      <c r="C5" s="538"/>
      <c r="D5" s="538"/>
      <c r="E5" s="538"/>
      <c r="F5" s="542"/>
      <c r="G5" s="538"/>
      <c r="H5" s="538"/>
      <c r="I5" s="538"/>
      <c r="J5" s="538"/>
      <c r="K5" s="538"/>
      <c r="L5" s="538"/>
      <c r="M5" s="538"/>
      <c r="N5" s="538"/>
      <c r="O5" s="591"/>
    </row>
    <row r="6" spans="1:19" s="464" customFormat="1">
      <c r="A6" s="374" t="s">
        <v>325</v>
      </c>
      <c r="B6" s="538"/>
      <c r="C6" s="538"/>
      <c r="D6" s="538"/>
      <c r="E6" s="538"/>
      <c r="F6" s="542"/>
      <c r="G6" s="538"/>
      <c r="H6" s="538"/>
      <c r="I6" s="538"/>
      <c r="J6" s="538"/>
      <c r="K6" s="538"/>
      <c r="L6" s="538"/>
      <c r="M6" s="538"/>
      <c r="N6" s="538"/>
      <c r="O6" s="591"/>
    </row>
    <row r="7" spans="1:19" s="464" customFormat="1">
      <c r="A7" s="1072" t="s">
        <v>179</v>
      </c>
      <c r="B7" s="1072" t="s">
        <v>247</v>
      </c>
      <c r="C7" s="1072" t="s">
        <v>562</v>
      </c>
      <c r="D7" s="1072"/>
      <c r="E7" s="1072"/>
      <c r="F7" s="1072"/>
      <c r="G7" s="1072" t="s">
        <v>563</v>
      </c>
      <c r="H7" s="1072"/>
      <c r="I7" s="1072"/>
      <c r="J7" s="1072"/>
      <c r="K7" s="1072" t="s">
        <v>564</v>
      </c>
      <c r="L7" s="1072"/>
      <c r="M7" s="1072"/>
      <c r="N7" s="1072"/>
      <c r="O7" s="591"/>
    </row>
    <row r="8" spans="1:19" s="464" customFormat="1" ht="24.75" customHeight="1">
      <c r="A8" s="1072"/>
      <c r="B8" s="1072"/>
      <c r="C8" s="705" t="s">
        <v>326</v>
      </c>
      <c r="D8" s="1077" t="s">
        <v>327</v>
      </c>
      <c r="E8" s="1078"/>
      <c r="F8" s="707" t="s">
        <v>250</v>
      </c>
      <c r="G8" s="707" t="s">
        <v>326</v>
      </c>
      <c r="H8" s="1073" t="s">
        <v>327</v>
      </c>
      <c r="I8" s="1074"/>
      <c r="J8" s="705" t="s">
        <v>250</v>
      </c>
      <c r="K8" s="705" t="s">
        <v>326</v>
      </c>
      <c r="L8" s="1073" t="s">
        <v>327</v>
      </c>
      <c r="M8" s="1074"/>
      <c r="N8" s="705" t="s">
        <v>250</v>
      </c>
      <c r="O8" s="591"/>
    </row>
    <row r="9" spans="1:19" s="464" customFormat="1" ht="25.5">
      <c r="A9" s="705">
        <v>1</v>
      </c>
      <c r="B9" s="706" t="s">
        <v>882</v>
      </c>
      <c r="C9" s="580">
        <f>F9/D9</f>
        <v>4852</v>
      </c>
      <c r="D9" s="1079">
        <v>22.67</v>
      </c>
      <c r="E9" s="1080"/>
      <c r="F9" s="284">
        <v>110000</v>
      </c>
      <c r="G9" s="592">
        <v>3183</v>
      </c>
      <c r="H9" s="1081">
        <v>22.67</v>
      </c>
      <c r="I9" s="1082"/>
      <c r="J9" s="530">
        <v>72167.86</v>
      </c>
      <c r="K9" s="580">
        <v>3183</v>
      </c>
      <c r="L9" s="1081">
        <v>22.67</v>
      </c>
      <c r="M9" s="1082"/>
      <c r="N9" s="530">
        <v>72167.86</v>
      </c>
      <c r="O9" s="591"/>
    </row>
    <row r="10" spans="1:19" s="464" customFormat="1">
      <c r="A10" s="705">
        <v>2</v>
      </c>
      <c r="B10" s="706" t="s">
        <v>883</v>
      </c>
      <c r="C10" s="580">
        <f>F10/D10</f>
        <v>197</v>
      </c>
      <c r="D10" s="1079">
        <v>651.5</v>
      </c>
      <c r="E10" s="1080"/>
      <c r="F10" s="284">
        <v>128309.55</v>
      </c>
      <c r="G10" s="593">
        <v>171</v>
      </c>
      <c r="H10" s="1083">
        <v>651.5</v>
      </c>
      <c r="I10" s="1084"/>
      <c r="J10" s="530">
        <v>111407.4</v>
      </c>
      <c r="K10" s="594">
        <v>171</v>
      </c>
      <c r="L10" s="1083">
        <v>651.5</v>
      </c>
      <c r="M10" s="1084"/>
      <c r="N10" s="530">
        <v>111407.4</v>
      </c>
      <c r="O10" s="591"/>
    </row>
    <row r="11" spans="1:19" s="743" customFormat="1" ht="14.25">
      <c r="A11" s="736"/>
      <c r="B11" s="739" t="s">
        <v>257</v>
      </c>
      <c r="C11" s="740" t="s">
        <v>26</v>
      </c>
      <c r="D11" s="1127" t="s">
        <v>26</v>
      </c>
      <c r="E11" s="1128"/>
      <c r="F11" s="737">
        <f>F9+F10</f>
        <v>238309.55</v>
      </c>
      <c r="G11" s="741" t="s">
        <v>26</v>
      </c>
      <c r="H11" s="1125" t="s">
        <v>26</v>
      </c>
      <c r="I11" s="1126"/>
      <c r="J11" s="738">
        <f>SUM(J9:J10)</f>
        <v>183575.26</v>
      </c>
      <c r="K11" s="740" t="s">
        <v>26</v>
      </c>
      <c r="L11" s="1125" t="s">
        <v>26</v>
      </c>
      <c r="M11" s="1126"/>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243</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244</v>
      </c>
      <c r="B14" s="538"/>
      <c r="C14" s="538"/>
      <c r="D14" s="538"/>
      <c r="E14" s="538"/>
      <c r="F14" s="538"/>
      <c r="G14" s="538"/>
      <c r="H14" s="538"/>
      <c r="I14" s="538"/>
      <c r="J14" s="538"/>
      <c r="K14" s="538"/>
      <c r="L14" s="538"/>
      <c r="M14" s="538"/>
      <c r="N14" s="538"/>
      <c r="O14" s="591"/>
    </row>
    <row r="15" spans="1:19" s="464" customFormat="1">
      <c r="A15" s="374" t="s">
        <v>865</v>
      </c>
      <c r="B15" s="538"/>
      <c r="C15" s="538"/>
      <c r="D15" s="538"/>
      <c r="E15" s="538"/>
      <c r="F15" s="538"/>
      <c r="G15" s="538"/>
      <c r="H15" s="538"/>
      <c r="I15" s="538"/>
      <c r="J15" s="538"/>
      <c r="K15" s="538"/>
      <c r="L15" s="538"/>
      <c r="M15" s="538"/>
      <c r="N15" s="538"/>
      <c r="O15" s="591"/>
    </row>
    <row r="16" spans="1:19" s="464" customFormat="1">
      <c r="A16" s="374" t="s">
        <v>325</v>
      </c>
      <c r="B16" s="538"/>
      <c r="C16" s="538"/>
      <c r="D16" s="538"/>
      <c r="E16" s="538"/>
      <c r="F16" s="538"/>
      <c r="G16" s="538"/>
      <c r="H16" s="538"/>
      <c r="I16" s="538"/>
      <c r="J16" s="538"/>
      <c r="K16" s="538"/>
      <c r="L16" s="538"/>
      <c r="M16" s="538"/>
      <c r="N16" s="538"/>
      <c r="O16" s="591"/>
    </row>
    <row r="17" spans="1:15" s="464" customFormat="1">
      <c r="A17" s="1072" t="s">
        <v>179</v>
      </c>
      <c r="B17" s="1072" t="s">
        <v>247</v>
      </c>
      <c r="C17" s="1072" t="s">
        <v>562</v>
      </c>
      <c r="D17" s="1072"/>
      <c r="E17" s="1072"/>
      <c r="F17" s="1072"/>
      <c r="G17" s="1072" t="s">
        <v>563</v>
      </c>
      <c r="H17" s="1072"/>
      <c r="I17" s="1072"/>
      <c r="J17" s="1072"/>
      <c r="K17" s="1072" t="s">
        <v>564</v>
      </c>
      <c r="L17" s="1072"/>
      <c r="M17" s="1072"/>
      <c r="N17" s="1072"/>
      <c r="O17" s="591"/>
    </row>
    <row r="18" spans="1:15" s="464" customFormat="1" ht="27" customHeight="1">
      <c r="A18" s="1072"/>
      <c r="B18" s="1072"/>
      <c r="C18" s="705" t="s">
        <v>326</v>
      </c>
      <c r="D18" s="1073" t="s">
        <v>327</v>
      </c>
      <c r="E18" s="1074"/>
      <c r="F18" s="705" t="s">
        <v>250</v>
      </c>
      <c r="G18" s="705" t="s">
        <v>326</v>
      </c>
      <c r="H18" s="1073" t="s">
        <v>327</v>
      </c>
      <c r="I18" s="1074"/>
      <c r="J18" s="705" t="s">
        <v>250</v>
      </c>
      <c r="K18" s="705" t="s">
        <v>326</v>
      </c>
      <c r="L18" s="1073" t="s">
        <v>327</v>
      </c>
      <c r="M18" s="1074"/>
      <c r="N18" s="705" t="s">
        <v>250</v>
      </c>
      <c r="O18" s="591"/>
    </row>
    <row r="19" spans="1:15" s="464" customFormat="1" ht="25.5">
      <c r="A19" s="705">
        <v>1</v>
      </c>
      <c r="B19" s="706" t="s">
        <v>882</v>
      </c>
      <c r="C19" s="580">
        <v>3892</v>
      </c>
      <c r="D19" s="1081">
        <v>22.67</v>
      </c>
      <c r="E19" s="1082"/>
      <c r="F19" s="88">
        <f>60000+20000</f>
        <v>80000</v>
      </c>
      <c r="G19" s="88">
        <v>3892</v>
      </c>
      <c r="H19" s="1081">
        <v>22.67</v>
      </c>
      <c r="I19" s="1082"/>
      <c r="J19" s="88">
        <v>88205.16</v>
      </c>
      <c r="K19" s="88">
        <v>3892</v>
      </c>
      <c r="L19" s="1081">
        <v>22.67</v>
      </c>
      <c r="M19" s="1082"/>
      <c r="N19" s="88">
        <v>88205.16</v>
      </c>
      <c r="O19" s="591"/>
    </row>
    <row r="20" spans="1:15" s="464" customFormat="1">
      <c r="A20" s="705">
        <v>2</v>
      </c>
      <c r="B20" s="706" t="s">
        <v>883</v>
      </c>
      <c r="C20" s="88">
        <v>209</v>
      </c>
      <c r="D20" s="1081">
        <v>651.5</v>
      </c>
      <c r="E20" s="1082"/>
      <c r="F20" s="88">
        <f>67857.17+18778.3</f>
        <v>86635.47</v>
      </c>
      <c r="G20" s="88">
        <v>209</v>
      </c>
      <c r="H20" s="1081">
        <v>651.5</v>
      </c>
      <c r="I20" s="1082"/>
      <c r="J20" s="88">
        <v>136164.6</v>
      </c>
      <c r="K20" s="88">
        <v>209</v>
      </c>
      <c r="L20" s="1081">
        <v>651.5</v>
      </c>
      <c r="M20" s="1082"/>
      <c r="N20" s="88">
        <v>136164.6</v>
      </c>
      <c r="O20" s="591"/>
    </row>
    <row r="21" spans="1:15" s="743" customFormat="1" ht="14.25">
      <c r="A21" s="736"/>
      <c r="B21" s="739" t="s">
        <v>257</v>
      </c>
      <c r="C21" s="740" t="s">
        <v>26</v>
      </c>
      <c r="D21" s="1125" t="s">
        <v>26</v>
      </c>
      <c r="E21" s="1126"/>
      <c r="F21" s="711">
        <f>SUM(F19:F20)</f>
        <v>166635.47</v>
      </c>
      <c r="G21" s="740" t="s">
        <v>26</v>
      </c>
      <c r="H21" s="1125" t="s">
        <v>26</v>
      </c>
      <c r="I21" s="1126"/>
      <c r="J21" s="711">
        <f>SUM(J19:J20)</f>
        <v>224369.76</v>
      </c>
      <c r="K21" s="740" t="s">
        <v>26</v>
      </c>
      <c r="L21" s="1125" t="s">
        <v>26</v>
      </c>
      <c r="M21" s="1126"/>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A7:A8"/>
    <mergeCell ref="B7:B8"/>
    <mergeCell ref="C7:F7"/>
    <mergeCell ref="G7:J7"/>
    <mergeCell ref="K7:N7"/>
    <mergeCell ref="D8:E8"/>
    <mergeCell ref="H8:I8"/>
    <mergeCell ref="L8:M8"/>
    <mergeCell ref="D9:E9"/>
    <mergeCell ref="H9:I9"/>
    <mergeCell ref="L9:M9"/>
    <mergeCell ref="D10:E10"/>
    <mergeCell ref="H10:I10"/>
    <mergeCell ref="L10:M10"/>
    <mergeCell ref="D11:E11"/>
    <mergeCell ref="H11:I11"/>
    <mergeCell ref="L11:M11"/>
    <mergeCell ref="A17:A18"/>
    <mergeCell ref="B17:B18"/>
    <mergeCell ref="C17:F17"/>
    <mergeCell ref="G17:J17"/>
    <mergeCell ref="K17:N17"/>
    <mergeCell ref="D18:E18"/>
    <mergeCell ref="H18:I18"/>
    <mergeCell ref="D21:E21"/>
    <mergeCell ref="H21:I21"/>
    <mergeCell ref="L21:M21"/>
    <mergeCell ref="L18:M18"/>
    <mergeCell ref="D19:E19"/>
    <mergeCell ref="H19:I19"/>
    <mergeCell ref="L19:M19"/>
    <mergeCell ref="D20:E20"/>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348</v>
      </c>
    </row>
    <row r="2" spans="1:17" ht="25.5" hidden="1" customHeight="1">
      <c r="A2" s="1072" t="s">
        <v>179</v>
      </c>
      <c r="B2" s="1072" t="s">
        <v>9</v>
      </c>
      <c r="C2" s="1072" t="s">
        <v>277</v>
      </c>
      <c r="D2" s="1072"/>
      <c r="E2" s="1072"/>
      <c r="F2" s="1072"/>
      <c r="G2" s="1072" t="s">
        <v>278</v>
      </c>
      <c r="H2" s="1072"/>
      <c r="I2" s="1072"/>
      <c r="J2" s="1072"/>
      <c r="K2" s="1072" t="s">
        <v>279</v>
      </c>
      <c r="L2" s="1072"/>
      <c r="M2" s="1072"/>
      <c r="N2" s="1072"/>
    </row>
    <row r="3" spans="1:17" ht="38.25" hidden="1">
      <c r="A3" s="1072"/>
      <c r="B3" s="1072"/>
      <c r="C3" s="1072" t="s">
        <v>349</v>
      </c>
      <c r="D3" s="1072" t="s">
        <v>350</v>
      </c>
      <c r="E3" s="700" t="s">
        <v>351</v>
      </c>
      <c r="F3" s="1072" t="s">
        <v>352</v>
      </c>
      <c r="G3" s="1072" t="s">
        <v>349</v>
      </c>
      <c r="H3" s="1072" t="s">
        <v>350</v>
      </c>
      <c r="I3" s="700" t="s">
        <v>351</v>
      </c>
      <c r="J3" s="1072" t="s">
        <v>352</v>
      </c>
      <c r="K3" s="1072" t="s">
        <v>349</v>
      </c>
      <c r="L3" s="1072" t="s">
        <v>350</v>
      </c>
      <c r="M3" s="700" t="s">
        <v>353</v>
      </c>
      <c r="N3" s="1072" t="s">
        <v>352</v>
      </c>
    </row>
    <row r="4" spans="1:17" ht="25.5" hidden="1">
      <c r="A4" s="1072"/>
      <c r="B4" s="1072"/>
      <c r="C4" s="1072"/>
      <c r="D4" s="1072"/>
      <c r="E4" s="700" t="s">
        <v>354</v>
      </c>
      <c r="F4" s="1072"/>
      <c r="G4" s="1072"/>
      <c r="H4" s="1072"/>
      <c r="I4" s="700" t="s">
        <v>354</v>
      </c>
      <c r="J4" s="1072"/>
      <c r="K4" s="1072"/>
      <c r="L4" s="1072"/>
      <c r="M4" s="700" t="s">
        <v>354</v>
      </c>
      <c r="N4" s="1072"/>
    </row>
    <row r="5" spans="1:17" hidden="1">
      <c r="A5" s="701"/>
      <c r="B5" s="701"/>
      <c r="C5" s="584"/>
      <c r="D5" s="584"/>
      <c r="E5" s="584"/>
      <c r="F5" s="584"/>
      <c r="G5" s="584"/>
      <c r="H5" s="584"/>
      <c r="I5" s="584"/>
      <c r="J5" s="584"/>
      <c r="K5" s="584"/>
      <c r="L5" s="584"/>
      <c r="M5" s="584"/>
      <c r="N5" s="584"/>
    </row>
    <row r="6" spans="1:17">
      <c r="A6" s="527" t="s">
        <v>355</v>
      </c>
    </row>
    <row r="8" spans="1:17">
      <c r="A8" s="527" t="s">
        <v>356</v>
      </c>
    </row>
    <row r="9" spans="1:17">
      <c r="Q9" s="708" t="s">
        <v>357</v>
      </c>
    </row>
    <row r="10" spans="1:17" s="709" customFormat="1" ht="20.25" hidden="1" customHeight="1">
      <c r="A10" s="527" t="s">
        <v>238</v>
      </c>
    </row>
    <row r="11" spans="1:17" ht="20.25" hidden="1" customHeight="1">
      <c r="A11" s="527" t="s">
        <v>239</v>
      </c>
    </row>
    <row r="12" spans="1:17" hidden="1">
      <c r="A12" s="527" t="s">
        <v>240</v>
      </c>
    </row>
    <row r="13" spans="1:17" hidden="1">
      <c r="A13" s="528" t="s">
        <v>358</v>
      </c>
    </row>
    <row r="14" spans="1:17" ht="25.5" hidden="1" customHeight="1">
      <c r="A14" s="1072" t="s">
        <v>179</v>
      </c>
      <c r="B14" s="1072" t="s">
        <v>9</v>
      </c>
      <c r="C14" s="1072" t="s">
        <v>216</v>
      </c>
      <c r="D14" s="1072"/>
      <c r="E14" s="1072"/>
      <c r="F14" s="1072"/>
      <c r="G14" s="1072" t="s">
        <v>217</v>
      </c>
      <c r="H14" s="1072"/>
      <c r="I14" s="1072"/>
      <c r="J14" s="1072"/>
      <c r="K14" s="1072" t="s">
        <v>218</v>
      </c>
      <c r="L14" s="1072"/>
      <c r="M14" s="1072"/>
      <c r="N14" s="1072"/>
    </row>
    <row r="15" spans="1:17" ht="25.5" hidden="1">
      <c r="A15" s="1072"/>
      <c r="B15" s="1072"/>
      <c r="C15" s="1072" t="s">
        <v>359</v>
      </c>
      <c r="D15" s="1072" t="s">
        <v>360</v>
      </c>
      <c r="E15" s="1072" t="s">
        <v>361</v>
      </c>
      <c r="F15" s="1072" t="s">
        <v>250</v>
      </c>
      <c r="G15" s="1072" t="s">
        <v>359</v>
      </c>
      <c r="H15" s="700" t="s">
        <v>362</v>
      </c>
      <c r="I15" s="1072" t="s">
        <v>361</v>
      </c>
      <c r="J15" s="1072" t="s">
        <v>250</v>
      </c>
      <c r="K15" s="1072" t="s">
        <v>359</v>
      </c>
      <c r="L15" s="700" t="s">
        <v>362</v>
      </c>
      <c r="M15" s="1072" t="s">
        <v>361</v>
      </c>
      <c r="N15" s="1072" t="s">
        <v>250</v>
      </c>
    </row>
    <row r="16" spans="1:17" ht="25.5" hidden="1">
      <c r="A16" s="1072"/>
      <c r="B16" s="1072"/>
      <c r="C16" s="1072"/>
      <c r="D16" s="1072"/>
      <c r="E16" s="1072"/>
      <c r="F16" s="1072"/>
      <c r="G16" s="1072"/>
      <c r="H16" s="700" t="s">
        <v>363</v>
      </c>
      <c r="I16" s="1072"/>
      <c r="J16" s="1072"/>
      <c r="K16" s="1072"/>
      <c r="L16" s="700" t="s">
        <v>363</v>
      </c>
      <c r="M16" s="1072"/>
      <c r="N16" s="1072"/>
    </row>
    <row r="17" spans="1:17" ht="22.5" hidden="1">
      <c r="A17" s="700">
        <v>1</v>
      </c>
      <c r="B17" s="701" t="s">
        <v>364</v>
      </c>
      <c r="C17" s="534" t="s">
        <v>365</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366</v>
      </c>
      <c r="C18" s="534" t="s">
        <v>365</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257</v>
      </c>
      <c r="C19" s="700" t="s">
        <v>26</v>
      </c>
      <c r="D19" s="700" t="s">
        <v>26</v>
      </c>
      <c r="E19" s="700" t="s">
        <v>26</v>
      </c>
      <c r="F19" s="711">
        <f>SUM(F17:F18)</f>
        <v>0</v>
      </c>
      <c r="G19" s="700" t="s">
        <v>26</v>
      </c>
      <c r="H19" s="700" t="s">
        <v>26</v>
      </c>
      <c r="I19" s="700" t="s">
        <v>26</v>
      </c>
      <c r="J19" s="88">
        <f>SUM(J17:J18)</f>
        <v>0</v>
      </c>
      <c r="K19" s="700" t="s">
        <v>26</v>
      </c>
      <c r="L19" s="700" t="s">
        <v>26</v>
      </c>
      <c r="M19" s="700" t="s">
        <v>26</v>
      </c>
      <c r="N19" s="88">
        <f>SUM(N17:N18)</f>
        <v>0</v>
      </c>
    </row>
    <row r="20" spans="1:17" hidden="1"/>
    <row r="21" spans="1:17">
      <c r="A21" s="726" t="s">
        <v>367</v>
      </c>
      <c r="B21" s="727"/>
      <c r="C21" s="727"/>
      <c r="D21" s="727"/>
      <c r="E21" s="727"/>
      <c r="F21" s="727"/>
    </row>
    <row r="23" spans="1:17" s="709" customFormat="1">
      <c r="A23" s="529" t="s">
        <v>238</v>
      </c>
    </row>
    <row r="24" spans="1:17" ht="18.75" customHeight="1">
      <c r="A24" s="527" t="s">
        <v>239</v>
      </c>
    </row>
    <row r="25" spans="1:17" ht="13.5" customHeight="1">
      <c r="A25" s="527" t="s">
        <v>866</v>
      </c>
    </row>
    <row r="26" spans="1:17">
      <c r="A26" s="528" t="s">
        <v>358</v>
      </c>
    </row>
    <row r="27" spans="1:17" ht="25.5" customHeight="1">
      <c r="A27" s="1072" t="s">
        <v>179</v>
      </c>
      <c r="B27" s="1072" t="s">
        <v>9</v>
      </c>
      <c r="C27" s="1072" t="s">
        <v>368</v>
      </c>
      <c r="D27" s="1072" t="s">
        <v>562</v>
      </c>
      <c r="E27" s="1072"/>
      <c r="F27" s="1072"/>
      <c r="G27" s="1072"/>
      <c r="H27" s="1072" t="s">
        <v>563</v>
      </c>
      <c r="I27" s="1072"/>
      <c r="J27" s="1072"/>
      <c r="K27" s="1072"/>
      <c r="L27" s="1072" t="s">
        <v>564</v>
      </c>
      <c r="M27" s="1072"/>
      <c r="N27" s="1072"/>
      <c r="O27" s="1072"/>
    </row>
    <row r="28" spans="1:17" ht="28.5" customHeight="1">
      <c r="A28" s="1072"/>
      <c r="B28" s="1072"/>
      <c r="C28" s="1072"/>
      <c r="D28" s="700" t="s">
        <v>369</v>
      </c>
      <c r="E28" s="700" t="s">
        <v>370</v>
      </c>
      <c r="F28" s="1072" t="s">
        <v>371</v>
      </c>
      <c r="G28" s="700" t="s">
        <v>303</v>
      </c>
      <c r="H28" s="1072" t="s">
        <v>372</v>
      </c>
      <c r="I28" s="700" t="s">
        <v>373</v>
      </c>
      <c r="J28" s="1072" t="s">
        <v>371</v>
      </c>
      <c r="K28" s="700" t="s">
        <v>303</v>
      </c>
      <c r="L28" s="1072" t="s">
        <v>372</v>
      </c>
      <c r="M28" s="700" t="s">
        <v>373</v>
      </c>
      <c r="N28" s="1072" t="s">
        <v>371</v>
      </c>
      <c r="O28" s="700" t="s">
        <v>303</v>
      </c>
    </row>
    <row r="29" spans="1:17" ht="20.25" customHeight="1">
      <c r="A29" s="1072"/>
      <c r="B29" s="1072"/>
      <c r="C29" s="1072"/>
      <c r="D29" s="700" t="s">
        <v>374</v>
      </c>
      <c r="E29" s="700" t="s">
        <v>375</v>
      </c>
      <c r="F29" s="1072"/>
      <c r="G29" s="700" t="s">
        <v>304</v>
      </c>
      <c r="H29" s="1072"/>
      <c r="I29" s="700" t="s">
        <v>376</v>
      </c>
      <c r="J29" s="1072"/>
      <c r="K29" s="700" t="s">
        <v>304</v>
      </c>
      <c r="L29" s="1072"/>
      <c r="M29" s="700" t="s">
        <v>376</v>
      </c>
      <c r="N29" s="1072"/>
      <c r="O29" s="700" t="s">
        <v>304</v>
      </c>
    </row>
    <row r="30" spans="1:17" ht="30" customHeight="1">
      <c r="A30" s="700">
        <v>1</v>
      </c>
      <c r="B30" s="701" t="s">
        <v>377</v>
      </c>
      <c r="C30" s="700">
        <v>925.05</v>
      </c>
      <c r="D30" s="531">
        <v>0</v>
      </c>
      <c r="E30" s="580">
        <v>0</v>
      </c>
      <c r="F30" s="589">
        <v>0</v>
      </c>
      <c r="G30" s="712">
        <v>0</v>
      </c>
      <c r="H30" s="531">
        <v>0</v>
      </c>
      <c r="I30" s="580">
        <v>0</v>
      </c>
      <c r="J30" s="589">
        <v>0</v>
      </c>
      <c r="K30" s="712">
        <v>0</v>
      </c>
      <c r="L30" s="531">
        <v>0</v>
      </c>
      <c r="M30" s="580">
        <v>0</v>
      </c>
      <c r="N30" s="589">
        <v>0</v>
      </c>
      <c r="O30" s="712">
        <v>0</v>
      </c>
      <c r="Q30" s="708" t="s">
        <v>378</v>
      </c>
    </row>
    <row r="31" spans="1:17" ht="38.25" hidden="1">
      <c r="A31" s="700">
        <v>2</v>
      </c>
      <c r="B31" s="701" t="s">
        <v>379</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380</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381</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382</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257</v>
      </c>
      <c r="C35" s="700" t="s">
        <v>26</v>
      </c>
      <c r="D35" s="700" t="s">
        <v>26</v>
      </c>
      <c r="E35" s="700" t="s">
        <v>26</v>
      </c>
      <c r="F35" s="700" t="s">
        <v>26</v>
      </c>
      <c r="G35" s="712">
        <f>SUM(G30:G33)</f>
        <v>0</v>
      </c>
      <c r="H35" s="700" t="s">
        <v>26</v>
      </c>
      <c r="I35" s="700" t="s">
        <v>26</v>
      </c>
      <c r="J35" s="700" t="s">
        <v>26</v>
      </c>
      <c r="K35" s="712">
        <f>SUM(K30:K34)</f>
        <v>0</v>
      </c>
      <c r="L35" s="700" t="s">
        <v>26</v>
      </c>
      <c r="M35" s="700" t="s">
        <v>26</v>
      </c>
      <c r="N35" s="700" t="s">
        <v>26</v>
      </c>
      <c r="O35" s="712">
        <f>SUM(O30:O34)</f>
        <v>0</v>
      </c>
    </row>
    <row r="36" spans="1:17">
      <c r="D36" s="715"/>
    </row>
    <row r="37" spans="1:17" s="716" customFormat="1">
      <c r="A37" s="537" t="s">
        <v>243</v>
      </c>
    </row>
    <row r="38" spans="1:17" ht="22.5" customHeight="1">
      <c r="A38" s="527" t="s">
        <v>244</v>
      </c>
      <c r="G38" s="717"/>
    </row>
    <row r="39" spans="1:17">
      <c r="A39" s="527" t="s">
        <v>865</v>
      </c>
      <c r="G39" s="718"/>
      <c r="H39" s="719"/>
    </row>
    <row r="40" spans="1:17">
      <c r="A40" s="528" t="s">
        <v>358</v>
      </c>
    </row>
    <row r="41" spans="1:17" ht="15" customHeight="1">
      <c r="A41" s="1072" t="s">
        <v>179</v>
      </c>
      <c r="B41" s="1072" t="s">
        <v>9</v>
      </c>
      <c r="C41" s="1072" t="s">
        <v>368</v>
      </c>
      <c r="D41" s="1072" t="s">
        <v>562</v>
      </c>
      <c r="E41" s="1072"/>
      <c r="F41" s="1072"/>
      <c r="G41" s="1072"/>
      <c r="H41" s="1072" t="s">
        <v>563</v>
      </c>
      <c r="I41" s="1072"/>
      <c r="J41" s="1072"/>
      <c r="K41" s="1072"/>
      <c r="L41" s="1072" t="s">
        <v>564</v>
      </c>
      <c r="M41" s="1072"/>
      <c r="N41" s="1072"/>
      <c r="O41" s="1072"/>
    </row>
    <row r="42" spans="1:17" ht="25.5">
      <c r="A42" s="1072"/>
      <c r="B42" s="1072"/>
      <c r="C42" s="1072"/>
      <c r="D42" s="700" t="s">
        <v>369</v>
      </c>
      <c r="E42" s="700" t="s">
        <v>370</v>
      </c>
      <c r="F42" s="1072" t="s">
        <v>371</v>
      </c>
      <c r="G42" s="700" t="s">
        <v>303</v>
      </c>
      <c r="H42" s="1072" t="s">
        <v>372</v>
      </c>
      <c r="I42" s="700" t="s">
        <v>373</v>
      </c>
      <c r="J42" s="1072" t="s">
        <v>371</v>
      </c>
      <c r="K42" s="700" t="s">
        <v>303</v>
      </c>
      <c r="L42" s="1072" t="s">
        <v>372</v>
      </c>
      <c r="M42" s="700" t="s">
        <v>373</v>
      </c>
      <c r="N42" s="1072" t="s">
        <v>371</v>
      </c>
      <c r="O42" s="700" t="s">
        <v>303</v>
      </c>
    </row>
    <row r="43" spans="1:17">
      <c r="A43" s="1072"/>
      <c r="B43" s="1072"/>
      <c r="C43" s="1072"/>
      <c r="D43" s="700" t="s">
        <v>374</v>
      </c>
      <c r="E43" s="700" t="s">
        <v>375</v>
      </c>
      <c r="F43" s="1072"/>
      <c r="G43" s="700" t="s">
        <v>304</v>
      </c>
      <c r="H43" s="1072"/>
      <c r="I43" s="700" t="s">
        <v>376</v>
      </c>
      <c r="J43" s="1072"/>
      <c r="K43" s="700" t="s">
        <v>304</v>
      </c>
      <c r="L43" s="1072"/>
      <c r="M43" s="700" t="s">
        <v>376</v>
      </c>
      <c r="N43" s="1072"/>
      <c r="O43" s="700" t="s">
        <v>304</v>
      </c>
    </row>
    <row r="44" spans="1:17" ht="25.5">
      <c r="A44" s="700">
        <v>1</v>
      </c>
      <c r="B44" s="701" t="s">
        <v>377</v>
      </c>
      <c r="C44" s="700">
        <v>925.05</v>
      </c>
      <c r="D44" s="531">
        <v>0</v>
      </c>
      <c r="E44" s="580">
        <v>0</v>
      </c>
      <c r="F44" s="589">
        <v>0</v>
      </c>
      <c r="G44" s="712">
        <v>0</v>
      </c>
      <c r="H44" s="531">
        <v>0</v>
      </c>
      <c r="I44" s="580">
        <v>0</v>
      </c>
      <c r="J44" s="589">
        <v>0</v>
      </c>
      <c r="K44" s="712">
        <v>0</v>
      </c>
      <c r="L44" s="531">
        <v>0</v>
      </c>
      <c r="M44" s="580">
        <v>0</v>
      </c>
      <c r="N44" s="589">
        <v>0</v>
      </c>
      <c r="O44" s="712">
        <v>0</v>
      </c>
      <c r="Q44" s="708" t="s">
        <v>383</v>
      </c>
    </row>
    <row r="45" spans="1:17" ht="57" hidden="1" customHeight="1">
      <c r="A45" s="579">
        <v>2</v>
      </c>
      <c r="B45" s="701" t="s">
        <v>381</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382</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257</v>
      </c>
      <c r="C47" s="700" t="s">
        <v>26</v>
      </c>
      <c r="D47" s="700" t="s">
        <v>26</v>
      </c>
      <c r="E47" s="700" t="s">
        <v>26</v>
      </c>
      <c r="F47" s="700" t="s">
        <v>26</v>
      </c>
      <c r="G47" s="712">
        <f>SUM(G44:G46)</f>
        <v>0</v>
      </c>
      <c r="H47" s="700" t="s">
        <v>26</v>
      </c>
      <c r="I47" s="700" t="s">
        <v>26</v>
      </c>
      <c r="J47" s="700" t="s">
        <v>26</v>
      </c>
      <c r="K47" s="712">
        <f>SUM(K44:K46)</f>
        <v>0</v>
      </c>
      <c r="L47" s="700" t="s">
        <v>26</v>
      </c>
      <c r="M47" s="700" t="s">
        <v>26</v>
      </c>
      <c r="N47" s="700" t="s">
        <v>26</v>
      </c>
      <c r="O47" s="712">
        <f>SUM(O44:O46)</f>
        <v>0</v>
      </c>
    </row>
    <row r="48" spans="1:17">
      <c r="A48" s="722"/>
      <c r="B48" s="723"/>
      <c r="C48" s="724"/>
      <c r="D48" s="724"/>
      <c r="E48" s="724"/>
      <c r="F48" s="724"/>
      <c r="G48" s="725"/>
      <c r="H48" s="724"/>
      <c r="I48" s="724"/>
      <c r="J48" s="724"/>
      <c r="K48" s="725"/>
      <c r="L48" s="724"/>
      <c r="M48" s="724"/>
      <c r="N48" s="724"/>
      <c r="O48" s="725"/>
    </row>
    <row r="49" spans="1:15">
      <c r="A49" s="529" t="s">
        <v>238</v>
      </c>
      <c r="B49" s="709"/>
      <c r="C49" s="709"/>
      <c r="D49" s="709"/>
      <c r="E49" s="709"/>
      <c r="F49" s="709"/>
      <c r="G49" s="709"/>
      <c r="H49" s="709"/>
      <c r="I49" s="709"/>
      <c r="J49" s="709"/>
      <c r="K49" s="709"/>
      <c r="L49" s="709"/>
      <c r="M49" s="709"/>
      <c r="N49" s="709"/>
      <c r="O49" s="709"/>
    </row>
    <row r="50" spans="1:15">
      <c r="A50" s="527" t="s">
        <v>239</v>
      </c>
    </row>
    <row r="51" spans="1:15">
      <c r="A51" s="527" t="s">
        <v>866</v>
      </c>
    </row>
    <row r="52" spans="1:15">
      <c r="A52" s="528" t="s">
        <v>870</v>
      </c>
    </row>
    <row r="53" spans="1:15">
      <c r="A53" s="1072" t="s">
        <v>179</v>
      </c>
      <c r="B53" s="1072" t="s">
        <v>9</v>
      </c>
      <c r="C53" s="1072" t="s">
        <v>368</v>
      </c>
      <c r="D53" s="1072" t="s">
        <v>562</v>
      </c>
      <c r="E53" s="1072"/>
      <c r="F53" s="1072"/>
      <c r="G53" s="1072"/>
      <c r="H53" s="1072" t="s">
        <v>563</v>
      </c>
      <c r="I53" s="1072"/>
      <c r="J53" s="1072"/>
      <c r="K53" s="1072"/>
      <c r="L53" s="1072" t="s">
        <v>564</v>
      </c>
      <c r="M53" s="1072"/>
      <c r="N53" s="1072"/>
      <c r="O53" s="1072"/>
    </row>
    <row r="54" spans="1:15" ht="25.5">
      <c r="A54" s="1072"/>
      <c r="B54" s="1072"/>
      <c r="C54" s="1072"/>
      <c r="D54" s="700" t="s">
        <v>369</v>
      </c>
      <c r="E54" s="700" t="s">
        <v>370</v>
      </c>
      <c r="F54" s="1072" t="s">
        <v>371</v>
      </c>
      <c r="G54" s="700" t="s">
        <v>303</v>
      </c>
      <c r="H54" s="1072" t="s">
        <v>372</v>
      </c>
      <c r="I54" s="700" t="s">
        <v>373</v>
      </c>
      <c r="J54" s="1072" t="s">
        <v>371</v>
      </c>
      <c r="K54" s="700" t="s">
        <v>303</v>
      </c>
      <c r="L54" s="1072" t="s">
        <v>372</v>
      </c>
      <c r="M54" s="700" t="s">
        <v>373</v>
      </c>
      <c r="N54" s="1072" t="s">
        <v>371</v>
      </c>
      <c r="O54" s="700" t="s">
        <v>303</v>
      </c>
    </row>
    <row r="55" spans="1:15">
      <c r="A55" s="1072"/>
      <c r="B55" s="1072"/>
      <c r="C55" s="1072"/>
      <c r="D55" s="700" t="s">
        <v>374</v>
      </c>
      <c r="E55" s="700" t="s">
        <v>375</v>
      </c>
      <c r="F55" s="1072"/>
      <c r="G55" s="700" t="s">
        <v>304</v>
      </c>
      <c r="H55" s="1072"/>
      <c r="I55" s="700" t="s">
        <v>376</v>
      </c>
      <c r="J55" s="1072"/>
      <c r="K55" s="700" t="s">
        <v>304</v>
      </c>
      <c r="L55" s="1072"/>
      <c r="M55" s="700" t="s">
        <v>376</v>
      </c>
      <c r="N55" s="1072"/>
      <c r="O55" s="700" t="s">
        <v>304</v>
      </c>
    </row>
    <row r="56" spans="1:15" ht="25.5">
      <c r="A56" s="700">
        <v>1</v>
      </c>
      <c r="B56" s="701" t="s">
        <v>377</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379</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380</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381</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382</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257</v>
      </c>
      <c r="C61" s="700" t="s">
        <v>26</v>
      </c>
      <c r="D61" s="700" t="s">
        <v>26</v>
      </c>
      <c r="E61" s="700" t="s">
        <v>26</v>
      </c>
      <c r="F61" s="700" t="s">
        <v>26</v>
      </c>
      <c r="G61" s="712">
        <f>SUM(G56:G59)</f>
        <v>413680.26</v>
      </c>
      <c r="H61" s="700" t="s">
        <v>26</v>
      </c>
      <c r="I61" s="700" t="s">
        <v>26</v>
      </c>
      <c r="J61" s="700" t="s">
        <v>26</v>
      </c>
      <c r="K61" s="712">
        <f>SUM(K56:K60)</f>
        <v>307637.88</v>
      </c>
      <c r="L61" s="700" t="s">
        <v>26</v>
      </c>
      <c r="M61" s="700" t="s">
        <v>26</v>
      </c>
      <c r="N61" s="700" t="s">
        <v>26</v>
      </c>
      <c r="O61" s="712">
        <f>SUM(O56:O60)</f>
        <v>309285.86</v>
      </c>
    </row>
    <row r="62" spans="1:15">
      <c r="D62" s="715"/>
    </row>
    <row r="63" spans="1:15">
      <c r="A63" s="537" t="s">
        <v>243</v>
      </c>
      <c r="B63" s="716"/>
      <c r="C63" s="716"/>
      <c r="D63" s="716"/>
      <c r="E63" s="716"/>
      <c r="F63" s="716"/>
      <c r="G63" s="716"/>
      <c r="H63" s="716"/>
      <c r="I63" s="716"/>
      <c r="J63" s="716"/>
      <c r="K63" s="716"/>
      <c r="L63" s="716"/>
      <c r="M63" s="716"/>
      <c r="N63" s="716"/>
      <c r="O63" s="716"/>
    </row>
    <row r="64" spans="1:15">
      <c r="A64" s="527" t="s">
        <v>244</v>
      </c>
      <c r="G64" s="717"/>
    </row>
    <row r="65" spans="1:15">
      <c r="A65" s="527" t="s">
        <v>865</v>
      </c>
      <c r="G65" s="718"/>
      <c r="H65" s="719"/>
    </row>
    <row r="66" spans="1:15">
      <c r="A66" s="528" t="s">
        <v>871</v>
      </c>
    </row>
    <row r="67" spans="1:15">
      <c r="A67" s="1072" t="s">
        <v>179</v>
      </c>
      <c r="B67" s="1072" t="s">
        <v>9</v>
      </c>
      <c r="C67" s="1072" t="s">
        <v>368</v>
      </c>
      <c r="D67" s="1072" t="s">
        <v>562</v>
      </c>
      <c r="E67" s="1072"/>
      <c r="F67" s="1072"/>
      <c r="G67" s="1072"/>
      <c r="H67" s="1072" t="s">
        <v>563</v>
      </c>
      <c r="I67" s="1072"/>
      <c r="J67" s="1072"/>
      <c r="K67" s="1072"/>
      <c r="L67" s="1072" t="s">
        <v>564</v>
      </c>
      <c r="M67" s="1072"/>
      <c r="N67" s="1072"/>
      <c r="O67" s="1072"/>
    </row>
    <row r="68" spans="1:15" ht="25.5">
      <c r="A68" s="1072"/>
      <c r="B68" s="1072"/>
      <c r="C68" s="1072"/>
      <c r="D68" s="700" t="s">
        <v>369</v>
      </c>
      <c r="E68" s="700" t="s">
        <v>370</v>
      </c>
      <c r="F68" s="1072" t="s">
        <v>371</v>
      </c>
      <c r="G68" s="700" t="s">
        <v>303</v>
      </c>
      <c r="H68" s="1072" t="s">
        <v>372</v>
      </c>
      <c r="I68" s="700" t="s">
        <v>373</v>
      </c>
      <c r="J68" s="1072" t="s">
        <v>371</v>
      </c>
      <c r="K68" s="700" t="s">
        <v>303</v>
      </c>
      <c r="L68" s="1072" t="s">
        <v>372</v>
      </c>
      <c r="M68" s="700" t="s">
        <v>373</v>
      </c>
      <c r="N68" s="1072" t="s">
        <v>371</v>
      </c>
      <c r="O68" s="700" t="s">
        <v>303</v>
      </c>
    </row>
    <row r="69" spans="1:15">
      <c r="A69" s="1072"/>
      <c r="B69" s="1072"/>
      <c r="C69" s="1072"/>
      <c r="D69" s="700" t="s">
        <v>374</v>
      </c>
      <c r="E69" s="700" t="s">
        <v>375</v>
      </c>
      <c r="F69" s="1072"/>
      <c r="G69" s="700" t="s">
        <v>304</v>
      </c>
      <c r="H69" s="1072"/>
      <c r="I69" s="700" t="s">
        <v>376</v>
      </c>
      <c r="J69" s="1072"/>
      <c r="K69" s="700" t="s">
        <v>304</v>
      </c>
      <c r="L69" s="1072"/>
      <c r="M69" s="700" t="s">
        <v>376</v>
      </c>
      <c r="N69" s="1072"/>
      <c r="O69" s="700" t="s">
        <v>304</v>
      </c>
    </row>
    <row r="70" spans="1:15" ht="25.5">
      <c r="A70" s="700">
        <v>1</v>
      </c>
      <c r="B70" s="701" t="s">
        <v>377</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381</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382</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257</v>
      </c>
      <c r="C73" s="700" t="s">
        <v>26</v>
      </c>
      <c r="D73" s="700" t="s">
        <v>26</v>
      </c>
      <c r="E73" s="700" t="s">
        <v>26</v>
      </c>
      <c r="F73" s="700" t="s">
        <v>26</v>
      </c>
      <c r="G73" s="712">
        <f>SUM(G70:G72)</f>
        <v>54112.76</v>
      </c>
      <c r="H73" s="700" t="s">
        <v>26</v>
      </c>
      <c r="I73" s="700" t="s">
        <v>26</v>
      </c>
      <c r="J73" s="700" t="s">
        <v>26</v>
      </c>
      <c r="K73" s="712">
        <f>SUM(K70:K72)</f>
        <v>116535.26</v>
      </c>
      <c r="L73" s="700" t="s">
        <v>26</v>
      </c>
      <c r="M73" s="700" t="s">
        <v>26</v>
      </c>
      <c r="N73" s="700" t="s">
        <v>26</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384</v>
      </c>
    </row>
    <row r="77" spans="1:15" s="709" customFormat="1">
      <c r="A77" s="529" t="s">
        <v>238</v>
      </c>
    </row>
    <row r="78" spans="1:15" ht="17.25" customHeight="1">
      <c r="A78" s="527" t="s">
        <v>239</v>
      </c>
    </row>
    <row r="79" spans="1:15">
      <c r="A79" s="527" t="s">
        <v>240</v>
      </c>
    </row>
    <row r="80" spans="1:15">
      <c r="A80" s="528" t="s">
        <v>358</v>
      </c>
    </row>
    <row r="81" spans="1:17">
      <c r="A81" s="1085" t="s">
        <v>179</v>
      </c>
      <c r="B81" s="1085" t="s">
        <v>9</v>
      </c>
      <c r="C81" s="1085" t="s">
        <v>385</v>
      </c>
      <c r="D81" s="1073" t="s">
        <v>562</v>
      </c>
      <c r="E81" s="1086"/>
      <c r="F81" s="1086"/>
      <c r="G81" s="1074"/>
      <c r="H81" s="1073" t="s">
        <v>563</v>
      </c>
      <c r="I81" s="1086"/>
      <c r="J81" s="1086"/>
      <c r="K81" s="1074"/>
      <c r="L81" s="1073" t="s">
        <v>564</v>
      </c>
      <c r="M81" s="1086"/>
      <c r="N81" s="1086"/>
      <c r="O81" s="1074"/>
    </row>
    <row r="82" spans="1:17">
      <c r="A82" s="1122"/>
      <c r="B82" s="1122"/>
      <c r="C82" s="1122"/>
      <c r="D82" s="1085" t="s">
        <v>386</v>
      </c>
      <c r="E82" s="1085" t="s">
        <v>387</v>
      </c>
      <c r="F82" s="1085" t="s">
        <v>388</v>
      </c>
      <c r="G82" s="700" t="s">
        <v>303</v>
      </c>
      <c r="H82" s="1085" t="s">
        <v>386</v>
      </c>
      <c r="I82" s="1085" t="s">
        <v>387</v>
      </c>
      <c r="J82" s="1085" t="s">
        <v>388</v>
      </c>
      <c r="K82" s="700" t="s">
        <v>303</v>
      </c>
      <c r="L82" s="1085" t="s">
        <v>386</v>
      </c>
      <c r="M82" s="1085" t="s">
        <v>387</v>
      </c>
      <c r="N82" s="1085" t="s">
        <v>388</v>
      </c>
      <c r="O82" s="700" t="s">
        <v>303</v>
      </c>
    </row>
    <row r="83" spans="1:17" ht="42.75" customHeight="1">
      <c r="A83" s="1121"/>
      <c r="B83" s="1121"/>
      <c r="C83" s="1121"/>
      <c r="D83" s="1121"/>
      <c r="E83" s="1121"/>
      <c r="F83" s="1121"/>
      <c r="G83" s="700" t="s">
        <v>304</v>
      </c>
      <c r="H83" s="1121"/>
      <c r="I83" s="1121"/>
      <c r="J83" s="1121"/>
      <c r="K83" s="700" t="s">
        <v>304</v>
      </c>
      <c r="L83" s="1121"/>
      <c r="M83" s="1121"/>
      <c r="N83" s="1121"/>
      <c r="O83" s="700" t="s">
        <v>304</v>
      </c>
      <c r="Q83" s="708" t="s">
        <v>389</v>
      </c>
    </row>
    <row r="84" spans="1:17" ht="84" hidden="1" customHeight="1">
      <c r="A84" s="579">
        <v>1</v>
      </c>
      <c r="B84" s="701" t="s">
        <v>390</v>
      </c>
      <c r="C84" s="700" t="s">
        <v>391</v>
      </c>
      <c r="D84" s="534" t="s">
        <v>365</v>
      </c>
      <c r="E84" s="700">
        <v>0</v>
      </c>
      <c r="F84" s="700">
        <v>0</v>
      </c>
      <c r="G84" s="712">
        <v>0</v>
      </c>
      <c r="H84" s="700">
        <v>0</v>
      </c>
      <c r="I84" s="700">
        <v>0</v>
      </c>
      <c r="J84" s="700">
        <v>0</v>
      </c>
      <c r="K84" s="712">
        <f>H84*I84*J84</f>
        <v>0</v>
      </c>
      <c r="L84" s="700">
        <v>0</v>
      </c>
      <c r="M84" s="700">
        <v>0</v>
      </c>
      <c r="N84" s="700">
        <v>0</v>
      </c>
      <c r="O84" s="712">
        <f>L84*M84*N84</f>
        <v>0</v>
      </c>
    </row>
    <row r="85" spans="1:17" ht="25.5" hidden="1">
      <c r="A85" s="579">
        <v>2</v>
      </c>
      <c r="B85" s="701" t="s">
        <v>392</v>
      </c>
      <c r="C85" s="701" t="s">
        <v>393</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394</v>
      </c>
      <c r="C86" s="702" t="s">
        <v>393</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395</v>
      </c>
      <c r="C87" s="702" t="s">
        <v>393</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872</v>
      </c>
      <c r="C88" s="702" t="s">
        <v>391</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589</v>
      </c>
      <c r="C89" s="702" t="s">
        <v>391</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873</v>
      </c>
      <c r="C90" s="702" t="s">
        <v>393</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257</v>
      </c>
      <c r="C91" s="702" t="s">
        <v>26</v>
      </c>
      <c r="D91" s="702">
        <v>0</v>
      </c>
      <c r="E91" s="702">
        <v>0</v>
      </c>
      <c r="F91" s="702">
        <v>0</v>
      </c>
      <c r="G91" s="289">
        <f>SUM(G84:G90)</f>
        <v>67970.44</v>
      </c>
      <c r="H91" s="702" t="s">
        <v>26</v>
      </c>
      <c r="I91" s="702" t="s">
        <v>26</v>
      </c>
      <c r="J91" s="702" t="s">
        <v>26</v>
      </c>
      <c r="K91" s="289">
        <f>SUM(K84:K90)</f>
        <v>89170.32</v>
      </c>
      <c r="L91" s="702" t="s">
        <v>26</v>
      </c>
      <c r="M91" s="702" t="s">
        <v>26</v>
      </c>
      <c r="N91" s="702" t="s">
        <v>26</v>
      </c>
      <c r="O91" s="289">
        <f>SUM(O84:O90)</f>
        <v>89170.32</v>
      </c>
    </row>
    <row r="93" spans="1:17" s="716" customFormat="1">
      <c r="A93" s="537" t="s">
        <v>243</v>
      </c>
    </row>
    <row r="94" spans="1:17">
      <c r="A94" s="527" t="s">
        <v>244</v>
      </c>
    </row>
    <row r="95" spans="1:17">
      <c r="A95" s="527" t="s">
        <v>865</v>
      </c>
    </row>
    <row r="96" spans="1:17">
      <c r="A96" s="528" t="s">
        <v>358</v>
      </c>
    </row>
    <row r="97" spans="1:15">
      <c r="A97" s="1072" t="s">
        <v>179</v>
      </c>
      <c r="B97" s="1072" t="s">
        <v>9</v>
      </c>
      <c r="C97" s="1072" t="s">
        <v>385</v>
      </c>
      <c r="D97" s="1072" t="s">
        <v>562</v>
      </c>
      <c r="E97" s="1072"/>
      <c r="F97" s="1072"/>
      <c r="G97" s="1072"/>
      <c r="H97" s="1072" t="s">
        <v>563</v>
      </c>
      <c r="I97" s="1072"/>
      <c r="J97" s="1072"/>
      <c r="K97" s="1072"/>
      <c r="L97" s="1072" t="s">
        <v>564</v>
      </c>
      <c r="M97" s="1072"/>
      <c r="N97" s="1072"/>
      <c r="O97" s="1072"/>
    </row>
    <row r="98" spans="1:15">
      <c r="A98" s="1072"/>
      <c r="B98" s="1072"/>
      <c r="C98" s="1072"/>
      <c r="D98" s="1072" t="s">
        <v>386</v>
      </c>
      <c r="E98" s="1072" t="s">
        <v>387</v>
      </c>
      <c r="F98" s="1072" t="s">
        <v>388</v>
      </c>
      <c r="G98" s="700" t="s">
        <v>303</v>
      </c>
      <c r="H98" s="1072" t="s">
        <v>386</v>
      </c>
      <c r="I98" s="1072" t="s">
        <v>387</v>
      </c>
      <c r="J98" s="1072" t="s">
        <v>388</v>
      </c>
      <c r="K98" s="700" t="s">
        <v>303</v>
      </c>
      <c r="L98" s="1072" t="s">
        <v>386</v>
      </c>
      <c r="M98" s="1072" t="s">
        <v>387</v>
      </c>
      <c r="N98" s="1072" t="s">
        <v>388</v>
      </c>
      <c r="O98" s="700" t="s">
        <v>303</v>
      </c>
    </row>
    <row r="99" spans="1:15">
      <c r="A99" s="1072"/>
      <c r="B99" s="1072"/>
      <c r="C99" s="1072"/>
      <c r="D99" s="1072"/>
      <c r="E99" s="1072"/>
      <c r="F99" s="1072"/>
      <c r="G99" s="700" t="s">
        <v>304</v>
      </c>
      <c r="H99" s="1072"/>
      <c r="I99" s="1072"/>
      <c r="J99" s="1072"/>
      <c r="K99" s="700" t="s">
        <v>304</v>
      </c>
      <c r="L99" s="1072"/>
      <c r="M99" s="1072"/>
      <c r="N99" s="1072"/>
      <c r="O99" s="700" t="s">
        <v>304</v>
      </c>
    </row>
    <row r="100" spans="1:15">
      <c r="A100" s="700">
        <v>1</v>
      </c>
      <c r="B100" s="701" t="s">
        <v>399</v>
      </c>
      <c r="C100" s="700" t="s">
        <v>393</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874</v>
      </c>
      <c r="C101" s="700" t="s">
        <v>400</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257</v>
      </c>
      <c r="C102" s="700" t="s">
        <v>26</v>
      </c>
      <c r="D102" s="700" t="s">
        <v>26</v>
      </c>
      <c r="E102" s="700" t="s">
        <v>26</v>
      </c>
      <c r="F102" s="700" t="s">
        <v>26</v>
      </c>
      <c r="G102" s="712">
        <f>SUM(G100:G101)</f>
        <v>55520</v>
      </c>
      <c r="H102" s="700" t="s">
        <v>26</v>
      </c>
      <c r="I102" s="700" t="s">
        <v>26</v>
      </c>
      <c r="J102" s="700" t="s">
        <v>26</v>
      </c>
      <c r="K102" s="712">
        <f>K100</f>
        <v>0</v>
      </c>
      <c r="L102" s="700" t="s">
        <v>26</v>
      </c>
      <c r="M102" s="700" t="s">
        <v>26</v>
      </c>
      <c r="N102" s="700" t="s">
        <v>26</v>
      </c>
      <c r="O102" s="712">
        <f>O100</f>
        <v>0</v>
      </c>
    </row>
    <row r="105" spans="1:15">
      <c r="A105" s="529" t="s">
        <v>238</v>
      </c>
      <c r="B105" s="709"/>
      <c r="C105" s="709"/>
      <c r="D105" s="709"/>
      <c r="E105" s="709"/>
      <c r="F105" s="709"/>
      <c r="G105" s="709"/>
      <c r="H105" s="709"/>
      <c r="I105" s="709"/>
      <c r="J105" s="709"/>
      <c r="K105" s="709"/>
      <c r="L105" s="709"/>
      <c r="M105" s="709"/>
      <c r="N105" s="709"/>
      <c r="O105" s="709"/>
    </row>
    <row r="106" spans="1:15">
      <c r="A106" s="527" t="s">
        <v>239</v>
      </c>
    </row>
    <row r="107" spans="1:15">
      <c r="A107" s="527" t="s">
        <v>866</v>
      </c>
    </row>
    <row r="108" spans="1:15">
      <c r="A108" s="528" t="s">
        <v>875</v>
      </c>
    </row>
    <row r="109" spans="1:15">
      <c r="A109" s="1085" t="s">
        <v>179</v>
      </c>
      <c r="B109" s="1085" t="s">
        <v>9</v>
      </c>
      <c r="C109" s="1085" t="s">
        <v>385</v>
      </c>
      <c r="D109" s="1073" t="s">
        <v>562</v>
      </c>
      <c r="E109" s="1086"/>
      <c r="F109" s="1086"/>
      <c r="G109" s="1074"/>
      <c r="H109" s="1073" t="s">
        <v>563</v>
      </c>
      <c r="I109" s="1086"/>
      <c r="J109" s="1086"/>
      <c r="K109" s="1074"/>
      <c r="L109" s="1073" t="s">
        <v>564</v>
      </c>
      <c r="M109" s="1086"/>
      <c r="N109" s="1086"/>
      <c r="O109" s="1074"/>
    </row>
    <row r="110" spans="1:15">
      <c r="A110" s="1122"/>
      <c r="B110" s="1122"/>
      <c r="C110" s="1122"/>
      <c r="D110" s="1085" t="s">
        <v>386</v>
      </c>
      <c r="E110" s="1085" t="s">
        <v>387</v>
      </c>
      <c r="F110" s="1085" t="s">
        <v>388</v>
      </c>
      <c r="G110" s="700" t="s">
        <v>303</v>
      </c>
      <c r="H110" s="1085" t="s">
        <v>386</v>
      </c>
      <c r="I110" s="1085" t="s">
        <v>387</v>
      </c>
      <c r="J110" s="1085" t="s">
        <v>388</v>
      </c>
      <c r="K110" s="700" t="s">
        <v>303</v>
      </c>
      <c r="L110" s="1085" t="s">
        <v>386</v>
      </c>
      <c r="M110" s="1085" t="s">
        <v>387</v>
      </c>
      <c r="N110" s="1085" t="s">
        <v>388</v>
      </c>
      <c r="O110" s="700" t="s">
        <v>303</v>
      </c>
    </row>
    <row r="111" spans="1:15">
      <c r="A111" s="1121"/>
      <c r="B111" s="1121"/>
      <c r="C111" s="1121"/>
      <c r="D111" s="1121"/>
      <c r="E111" s="1121"/>
      <c r="F111" s="1121"/>
      <c r="G111" s="700" t="s">
        <v>304</v>
      </c>
      <c r="H111" s="1121"/>
      <c r="I111" s="1121"/>
      <c r="J111" s="1121"/>
      <c r="K111" s="700" t="s">
        <v>304</v>
      </c>
      <c r="L111" s="1121"/>
      <c r="M111" s="1121"/>
      <c r="N111" s="1121"/>
      <c r="O111" s="700" t="s">
        <v>304</v>
      </c>
    </row>
    <row r="112" spans="1:15" ht="38.25">
      <c r="A112" s="702">
        <v>1</v>
      </c>
      <c r="B112" s="287" t="s">
        <v>877</v>
      </c>
      <c r="C112" s="702" t="s">
        <v>391</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589</v>
      </c>
      <c r="C113" s="733" t="s">
        <v>391</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257</v>
      </c>
      <c r="C114" s="702" t="s">
        <v>26</v>
      </c>
      <c r="D114" s="702">
        <v>0</v>
      </c>
      <c r="E114" s="702">
        <v>0</v>
      </c>
      <c r="F114" s="702">
        <v>0</v>
      </c>
      <c r="G114" s="289">
        <f>SUM(G112:G113)</f>
        <v>4830</v>
      </c>
      <c r="H114" s="702" t="s">
        <v>26</v>
      </c>
      <c r="I114" s="702" t="s">
        <v>26</v>
      </c>
      <c r="J114" s="702" t="s">
        <v>26</v>
      </c>
      <c r="K114" s="289">
        <f>SUM(K112:K113)</f>
        <v>0</v>
      </c>
      <c r="L114" s="702" t="s">
        <v>26</v>
      </c>
      <c r="M114" s="702" t="s">
        <v>26</v>
      </c>
      <c r="N114" s="702" t="s">
        <v>26</v>
      </c>
      <c r="O114" s="289">
        <f>SUM(O112:O113)</f>
        <v>748.02</v>
      </c>
    </row>
    <row r="117" spans="1:15">
      <c r="A117" s="537" t="s">
        <v>243</v>
      </c>
      <c r="B117" s="716"/>
      <c r="C117" s="716"/>
      <c r="D117" s="716"/>
      <c r="E117" s="716"/>
      <c r="F117" s="716"/>
      <c r="G117" s="716"/>
      <c r="H117" s="716"/>
      <c r="I117" s="716"/>
      <c r="J117" s="716"/>
      <c r="K117" s="716"/>
      <c r="L117" s="716"/>
      <c r="M117" s="716"/>
      <c r="N117" s="716"/>
      <c r="O117" s="716"/>
    </row>
    <row r="118" spans="1:15">
      <c r="A118" s="527" t="s">
        <v>244</v>
      </c>
    </row>
    <row r="119" spans="1:15">
      <c r="A119" s="527" t="s">
        <v>865</v>
      </c>
    </row>
    <row r="120" spans="1:15">
      <c r="A120" s="528" t="s">
        <v>875</v>
      </c>
    </row>
    <row r="121" spans="1:15">
      <c r="A121" s="1072" t="s">
        <v>179</v>
      </c>
      <c r="B121" s="1072" t="s">
        <v>9</v>
      </c>
      <c r="C121" s="1072" t="s">
        <v>385</v>
      </c>
      <c r="D121" s="1072" t="s">
        <v>562</v>
      </c>
      <c r="E121" s="1072"/>
      <c r="F121" s="1072"/>
      <c r="G121" s="1072"/>
      <c r="H121" s="1072" t="s">
        <v>563</v>
      </c>
      <c r="I121" s="1072"/>
      <c r="J121" s="1072"/>
      <c r="K121" s="1072"/>
      <c r="L121" s="1072" t="s">
        <v>564</v>
      </c>
      <c r="M121" s="1072"/>
      <c r="N121" s="1072"/>
      <c r="O121" s="1072"/>
    </row>
    <row r="122" spans="1:15">
      <c r="A122" s="1072"/>
      <c r="B122" s="1072"/>
      <c r="C122" s="1072"/>
      <c r="D122" s="1072" t="s">
        <v>386</v>
      </c>
      <c r="E122" s="1072" t="s">
        <v>387</v>
      </c>
      <c r="F122" s="1072" t="s">
        <v>388</v>
      </c>
      <c r="G122" s="700" t="s">
        <v>303</v>
      </c>
      <c r="H122" s="1072" t="s">
        <v>386</v>
      </c>
      <c r="I122" s="1072" t="s">
        <v>387</v>
      </c>
      <c r="J122" s="1072" t="s">
        <v>388</v>
      </c>
      <c r="K122" s="700" t="s">
        <v>303</v>
      </c>
      <c r="L122" s="1072" t="s">
        <v>386</v>
      </c>
      <c r="M122" s="1072" t="s">
        <v>387</v>
      </c>
      <c r="N122" s="1072" t="s">
        <v>388</v>
      </c>
      <c r="O122" s="700" t="s">
        <v>303</v>
      </c>
    </row>
    <row r="123" spans="1:15">
      <c r="A123" s="1072"/>
      <c r="B123" s="1072"/>
      <c r="C123" s="1072"/>
      <c r="D123" s="1072"/>
      <c r="E123" s="1072"/>
      <c r="F123" s="1072"/>
      <c r="G123" s="700" t="s">
        <v>304</v>
      </c>
      <c r="H123" s="1072"/>
      <c r="I123" s="1072"/>
      <c r="J123" s="1072"/>
      <c r="K123" s="700" t="s">
        <v>304</v>
      </c>
      <c r="L123" s="1072"/>
      <c r="M123" s="1072"/>
      <c r="N123" s="1072"/>
      <c r="O123" s="700" t="s">
        <v>304</v>
      </c>
    </row>
    <row r="124" spans="1:15" ht="25.5">
      <c r="A124" s="700">
        <v>1</v>
      </c>
      <c r="B124" s="701" t="s">
        <v>876</v>
      </c>
      <c r="C124" s="700" t="s">
        <v>400</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257</v>
      </c>
      <c r="C125" s="700" t="s">
        <v>26</v>
      </c>
      <c r="D125" s="700" t="s">
        <v>26</v>
      </c>
      <c r="E125" s="700" t="s">
        <v>26</v>
      </c>
      <c r="F125" s="700" t="s">
        <v>26</v>
      </c>
      <c r="G125" s="712">
        <f>SUM(G124:G124)</f>
        <v>4480</v>
      </c>
      <c r="H125" s="700" t="s">
        <v>26</v>
      </c>
      <c r="I125" s="700" t="s">
        <v>26</v>
      </c>
      <c r="J125" s="700" t="s">
        <v>26</v>
      </c>
      <c r="K125" s="712">
        <f>K124</f>
        <v>0</v>
      </c>
      <c r="L125" s="700" t="s">
        <v>26</v>
      </c>
      <c r="M125" s="700" t="s">
        <v>26</v>
      </c>
      <c r="N125" s="700" t="s">
        <v>26</v>
      </c>
      <c r="O125" s="712">
        <f>O124</f>
        <v>0</v>
      </c>
    </row>
    <row r="127" spans="1:15">
      <c r="G127" s="719"/>
      <c r="H127" s="719"/>
      <c r="I127" s="719"/>
      <c r="J127" s="719"/>
      <c r="K127" s="719"/>
      <c r="L127" s="719"/>
      <c r="M127" s="719"/>
      <c r="N127" s="719"/>
      <c r="O127" s="719"/>
    </row>
    <row r="129" spans="1:15">
      <c r="B129" s="708" t="s">
        <v>241</v>
      </c>
    </row>
    <row r="130" spans="1:15">
      <c r="D130" s="708">
        <v>2022</v>
      </c>
      <c r="E130" s="708">
        <v>2023</v>
      </c>
      <c r="F130" s="708">
        <v>2024</v>
      </c>
    </row>
    <row r="131" spans="1:15">
      <c r="A131" s="1129">
        <v>2</v>
      </c>
      <c r="B131" s="708" t="s">
        <v>867</v>
      </c>
      <c r="C131" s="708">
        <v>225</v>
      </c>
      <c r="D131" s="719">
        <f>G35+G102</f>
        <v>55520</v>
      </c>
      <c r="E131" s="719">
        <f>K47+K102</f>
        <v>0</v>
      </c>
      <c r="F131" s="719">
        <f>O47+O102</f>
        <v>0</v>
      </c>
      <c r="G131" s="719"/>
      <c r="H131" s="719"/>
      <c r="I131" s="719"/>
      <c r="J131" s="719"/>
      <c r="K131" s="719"/>
      <c r="L131" s="719"/>
      <c r="M131" s="719"/>
      <c r="N131" s="719"/>
      <c r="O131" s="719"/>
    </row>
    <row r="132" spans="1:15">
      <c r="A132" s="1129"/>
      <c r="B132" s="708" t="s">
        <v>868</v>
      </c>
      <c r="C132" s="708">
        <v>225</v>
      </c>
      <c r="D132" s="717">
        <f>G73</f>
        <v>54112.76</v>
      </c>
      <c r="E132" s="717">
        <f>K73</f>
        <v>116535.26</v>
      </c>
      <c r="F132" s="717">
        <f>O73</f>
        <v>117097.28</v>
      </c>
      <c r="G132" s="708" t="s">
        <v>892</v>
      </c>
    </row>
    <row r="133" spans="1:15">
      <c r="A133" s="1129"/>
      <c r="B133" s="708" t="s">
        <v>869</v>
      </c>
      <c r="C133" s="708">
        <v>225</v>
      </c>
      <c r="D133" s="717">
        <f>G125</f>
        <v>4480</v>
      </c>
      <c r="E133" s="717">
        <f>K125</f>
        <v>0</v>
      </c>
      <c r="F133" s="717">
        <f>O125</f>
        <v>0</v>
      </c>
      <c r="G133" s="708" t="s">
        <v>893</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29">
        <v>4</v>
      </c>
      <c r="B139" s="708" t="s">
        <v>867</v>
      </c>
      <c r="C139" s="708">
        <v>225</v>
      </c>
      <c r="D139" s="719">
        <f>G35+G91</f>
        <v>67970.44</v>
      </c>
      <c r="E139" s="719">
        <f>K35+K91</f>
        <v>89170.32</v>
      </c>
      <c r="F139" s="719">
        <f>O35+O91</f>
        <v>89170.32</v>
      </c>
    </row>
    <row r="140" spans="1:15">
      <c r="A140" s="1129"/>
      <c r="B140" s="708" t="s">
        <v>868</v>
      </c>
      <c r="C140" s="708">
        <v>225</v>
      </c>
      <c r="D140" s="719">
        <f>G61</f>
        <v>413680.26</v>
      </c>
      <c r="E140" s="719">
        <f>K61</f>
        <v>307637.88</v>
      </c>
      <c r="F140" s="719">
        <f>O61</f>
        <v>309285.86</v>
      </c>
      <c r="G140" s="708" t="s">
        <v>892</v>
      </c>
    </row>
    <row r="141" spans="1:15">
      <c r="A141" s="1129"/>
      <c r="B141" s="708" t="s">
        <v>869</v>
      </c>
      <c r="C141" s="708">
        <v>225</v>
      </c>
      <c r="D141" s="719">
        <f>G114</f>
        <v>4830</v>
      </c>
      <c r="E141" s="719">
        <f>K114</f>
        <v>0</v>
      </c>
      <c r="F141" s="719">
        <f>O114</f>
        <v>748.02</v>
      </c>
      <c r="G141" s="708" t="s">
        <v>893</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N110:N111"/>
    <mergeCell ref="A121:A123"/>
    <mergeCell ref="B121:B123"/>
    <mergeCell ref="C121:C123"/>
    <mergeCell ref="D121:G121"/>
    <mergeCell ref="H121:K121"/>
    <mergeCell ref="L121:O121"/>
    <mergeCell ref="D122:D123"/>
    <mergeCell ref="E122:E123"/>
    <mergeCell ref="F122:F123"/>
    <mergeCell ref="L67:O67"/>
    <mergeCell ref="F68:F69"/>
    <mergeCell ref="H68:H69"/>
    <mergeCell ref="J68:J69"/>
    <mergeCell ref="L68:L69"/>
    <mergeCell ref="N68:N69"/>
    <mergeCell ref="L53:O53"/>
    <mergeCell ref="F54:F55"/>
    <mergeCell ref="H54:H55"/>
    <mergeCell ref="J54:J55"/>
    <mergeCell ref="L54:L55"/>
    <mergeCell ref="N54:N55"/>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A41:A43"/>
    <mergeCell ref="B41:B43"/>
    <mergeCell ref="C41:C43"/>
    <mergeCell ref="D41:G41"/>
    <mergeCell ref="H41:K41"/>
    <mergeCell ref="L41:O41"/>
    <mergeCell ref="F42:F43"/>
    <mergeCell ref="H42:H43"/>
    <mergeCell ref="J42:J43"/>
    <mergeCell ref="L42:L43"/>
    <mergeCell ref="N42:N43"/>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411</v>
      </c>
    </row>
    <row r="3" spans="2:15" ht="15.75">
      <c r="B3" s="827" t="s">
        <v>412</v>
      </c>
    </row>
    <row r="5" spans="2:15" s="539" customFormat="1">
      <c r="B5" s="539" t="s">
        <v>238</v>
      </c>
      <c r="C5" s="539" t="s">
        <v>482</v>
      </c>
    </row>
    <row r="6" spans="2:15">
      <c r="B6" s="374" t="s">
        <v>239</v>
      </c>
    </row>
    <row r="7" spans="2:15">
      <c r="B7" s="374" t="s">
        <v>866</v>
      </c>
    </row>
    <row r="8" spans="2:15">
      <c r="B8" s="583" t="s">
        <v>413</v>
      </c>
    </row>
    <row r="9" spans="2:15">
      <c r="B9" s="1072" t="s">
        <v>179</v>
      </c>
      <c r="C9" s="1072" t="s">
        <v>247</v>
      </c>
      <c r="D9" s="1072" t="s">
        <v>562</v>
      </c>
      <c r="E9" s="1072"/>
      <c r="F9" s="1072"/>
      <c r="G9" s="1072"/>
      <c r="H9" s="1072" t="s">
        <v>563</v>
      </c>
      <c r="I9" s="1072"/>
      <c r="J9" s="1072"/>
      <c r="K9" s="1072"/>
      <c r="L9" s="1072" t="s">
        <v>564</v>
      </c>
      <c r="M9" s="1072"/>
      <c r="N9" s="1072"/>
      <c r="O9" s="1072"/>
    </row>
    <row r="10" spans="2:15" ht="25.5">
      <c r="B10" s="1072"/>
      <c r="C10" s="1072"/>
      <c r="D10" s="1072" t="s">
        <v>414</v>
      </c>
      <c r="E10" s="814" t="s">
        <v>415</v>
      </c>
      <c r="F10" s="1116" t="s">
        <v>416</v>
      </c>
      <c r="G10" s="1116" t="s">
        <v>250</v>
      </c>
      <c r="H10" s="1116" t="s">
        <v>414</v>
      </c>
      <c r="I10" s="814" t="s">
        <v>415</v>
      </c>
      <c r="J10" s="1072" t="s">
        <v>416</v>
      </c>
      <c r="K10" s="1072" t="s">
        <v>250</v>
      </c>
      <c r="L10" s="1072" t="s">
        <v>414</v>
      </c>
      <c r="M10" s="814" t="s">
        <v>415</v>
      </c>
      <c r="N10" s="1072" t="s">
        <v>416</v>
      </c>
      <c r="O10" s="1072" t="s">
        <v>250</v>
      </c>
    </row>
    <row r="11" spans="2:15">
      <c r="B11" s="1072"/>
      <c r="C11" s="1072"/>
      <c r="D11" s="1072"/>
      <c r="E11" s="814" t="s">
        <v>417</v>
      </c>
      <c r="F11" s="1116"/>
      <c r="G11" s="1116"/>
      <c r="H11" s="1116"/>
      <c r="I11" s="814" t="s">
        <v>417</v>
      </c>
      <c r="J11" s="1072"/>
      <c r="K11" s="1072"/>
      <c r="L11" s="1072"/>
      <c r="M11" s="814" t="s">
        <v>417</v>
      </c>
      <c r="N11" s="1072"/>
      <c r="O11" s="1072"/>
    </row>
    <row r="12" spans="2:15">
      <c r="B12" s="814">
        <v>1</v>
      </c>
      <c r="C12" s="1085" t="s">
        <v>418</v>
      </c>
      <c r="D12" s="1085">
        <v>1</v>
      </c>
      <c r="E12" s="714">
        <f>G12/F12</f>
        <v>4698.6000000000004</v>
      </c>
      <c r="F12" s="609">
        <v>278.27</v>
      </c>
      <c r="G12" s="284">
        <f>1238858.04+68624.33</f>
        <v>1307482.3700000001</v>
      </c>
      <c r="H12" s="1130">
        <v>1</v>
      </c>
      <c r="I12" s="1132">
        <f>K12/J12</f>
        <v>531.6</v>
      </c>
      <c r="J12" s="1134">
        <v>979</v>
      </c>
      <c r="K12" s="1136">
        <f>127608.34+553427.4-160644</f>
        <v>520391.74</v>
      </c>
      <c r="L12" s="1085">
        <v>1</v>
      </c>
      <c r="M12" s="1132">
        <f>O12/N12</f>
        <v>448.2</v>
      </c>
      <c r="N12" s="1134">
        <v>979</v>
      </c>
      <c r="O12" s="1136">
        <f>127608.34+471822.27-160644</f>
        <v>438786.61</v>
      </c>
    </row>
    <row r="13" spans="2:15" hidden="1">
      <c r="B13" s="814">
        <v>2</v>
      </c>
      <c r="C13" s="1121"/>
      <c r="D13" s="1121"/>
      <c r="E13" s="714">
        <v>363</v>
      </c>
      <c r="F13" s="609">
        <v>316.54000000000002</v>
      </c>
      <c r="G13" s="284">
        <v>114904.02</v>
      </c>
      <c r="H13" s="1131"/>
      <c r="I13" s="1133"/>
      <c r="J13" s="1135"/>
      <c r="K13" s="1137"/>
      <c r="L13" s="1121"/>
      <c r="M13" s="1133"/>
      <c r="N13" s="1135"/>
      <c r="O13" s="1137"/>
    </row>
    <row r="14" spans="2:15" s="799" customFormat="1" ht="14.25">
      <c r="B14" s="828" t="s">
        <v>26</v>
      </c>
      <c r="C14" s="739" t="s">
        <v>257</v>
      </c>
      <c r="D14" s="740">
        <f>D12</f>
        <v>1</v>
      </c>
      <c r="E14" s="829">
        <f>SUM(E12:E13)</f>
        <v>5061.6000000000004</v>
      </c>
      <c r="F14" s="830" t="s">
        <v>26</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243</v>
      </c>
      <c r="C16" s="473"/>
      <c r="D16" s="473"/>
      <c r="E16" s="473"/>
      <c r="F16" s="473"/>
      <c r="G16" s="473"/>
      <c r="H16" s="473"/>
      <c r="I16" s="473"/>
      <c r="J16" s="473"/>
      <c r="K16" s="473"/>
      <c r="L16" s="473"/>
      <c r="M16" s="473"/>
      <c r="N16" s="473"/>
      <c r="O16" s="473"/>
    </row>
    <row r="17" spans="2:15">
      <c r="B17" s="319" t="s">
        <v>244</v>
      </c>
      <c r="C17" s="319"/>
      <c r="D17" s="319"/>
      <c r="E17" s="319"/>
      <c r="F17" s="319"/>
      <c r="G17" s="319"/>
      <c r="H17" s="319"/>
      <c r="I17" s="319"/>
      <c r="J17" s="319"/>
      <c r="K17" s="319"/>
      <c r="L17" s="319"/>
      <c r="M17" s="319"/>
      <c r="N17" s="319"/>
      <c r="O17" s="319"/>
    </row>
    <row r="18" spans="2:15">
      <c r="B18" s="319" t="s">
        <v>865</v>
      </c>
      <c r="C18" s="319"/>
      <c r="D18" s="319"/>
      <c r="E18" s="319"/>
      <c r="F18" s="319"/>
      <c r="G18" s="319"/>
      <c r="H18" s="319"/>
      <c r="I18" s="319"/>
      <c r="J18" s="319"/>
      <c r="K18" s="319"/>
      <c r="L18" s="319"/>
      <c r="M18" s="319"/>
      <c r="N18" s="319"/>
      <c r="O18" s="319"/>
    </row>
    <row r="19" spans="2:15">
      <c r="B19" s="472" t="s">
        <v>413</v>
      </c>
      <c r="C19" s="319"/>
      <c r="D19" s="319"/>
      <c r="E19" s="319"/>
      <c r="F19" s="319"/>
      <c r="G19" s="319"/>
      <c r="H19" s="319"/>
      <c r="I19" s="319"/>
      <c r="J19" s="319"/>
      <c r="K19" s="319"/>
      <c r="L19" s="319"/>
      <c r="M19" s="319"/>
      <c r="N19" s="319"/>
      <c r="O19" s="319"/>
    </row>
    <row r="20" spans="2:15">
      <c r="B20" s="1114" t="s">
        <v>179</v>
      </c>
      <c r="C20" s="1114" t="s">
        <v>247</v>
      </c>
      <c r="D20" s="1114" t="s">
        <v>562</v>
      </c>
      <c r="E20" s="1114"/>
      <c r="F20" s="1114"/>
      <c r="G20" s="1114"/>
      <c r="H20" s="1114" t="s">
        <v>563</v>
      </c>
      <c r="I20" s="1114"/>
      <c r="J20" s="1114"/>
      <c r="K20" s="1114"/>
      <c r="L20" s="1114" t="s">
        <v>564</v>
      </c>
      <c r="M20" s="1114"/>
      <c r="N20" s="1114"/>
      <c r="O20" s="1114"/>
    </row>
    <row r="21" spans="2:15" ht="25.5">
      <c r="B21" s="1114"/>
      <c r="C21" s="1114"/>
      <c r="D21" s="1114" t="s">
        <v>414</v>
      </c>
      <c r="E21" s="824" t="s">
        <v>415</v>
      </c>
      <c r="F21" s="1114" t="s">
        <v>416</v>
      </c>
      <c r="G21" s="1114" t="s">
        <v>250</v>
      </c>
      <c r="H21" s="1114" t="s">
        <v>414</v>
      </c>
      <c r="I21" s="824" t="s">
        <v>415</v>
      </c>
      <c r="J21" s="1114" t="s">
        <v>416</v>
      </c>
      <c r="K21" s="1114" t="s">
        <v>250</v>
      </c>
      <c r="L21" s="1114" t="s">
        <v>414</v>
      </c>
      <c r="M21" s="824" t="s">
        <v>415</v>
      </c>
      <c r="N21" s="1114" t="s">
        <v>416</v>
      </c>
      <c r="O21" s="1114" t="s">
        <v>250</v>
      </c>
    </row>
    <row r="22" spans="2:15">
      <c r="B22" s="1114"/>
      <c r="C22" s="1114"/>
      <c r="D22" s="1114"/>
      <c r="E22" s="824" t="s">
        <v>417</v>
      </c>
      <c r="F22" s="1114"/>
      <c r="G22" s="1114"/>
      <c r="H22" s="1114"/>
      <c r="I22" s="824" t="s">
        <v>417</v>
      </c>
      <c r="J22" s="1114"/>
      <c r="K22" s="1114"/>
      <c r="L22" s="1114"/>
      <c r="M22" s="824" t="s">
        <v>417</v>
      </c>
      <c r="N22" s="1114"/>
      <c r="O22" s="1114"/>
    </row>
    <row r="23" spans="2:15">
      <c r="B23" s="824">
        <v>1</v>
      </c>
      <c r="C23" s="467" t="s">
        <v>418</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257</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419</v>
      </c>
    </row>
    <row r="28" spans="2:15" s="539" customFormat="1">
      <c r="B28" s="539" t="s">
        <v>238</v>
      </c>
      <c r="N28" s="374"/>
      <c r="O28" s="374"/>
    </row>
    <row r="29" spans="2:15">
      <c r="B29" s="374" t="s">
        <v>239</v>
      </c>
      <c r="N29" s="804"/>
    </row>
    <row r="30" spans="2:15">
      <c r="B30" s="374" t="s">
        <v>866</v>
      </c>
      <c r="N30" s="804"/>
    </row>
    <row r="31" spans="2:15">
      <c r="B31" s="583" t="s">
        <v>936</v>
      </c>
    </row>
    <row r="32" spans="2:15">
      <c r="B32" s="1072" t="s">
        <v>179</v>
      </c>
      <c r="C32" s="1072" t="s">
        <v>247</v>
      </c>
      <c r="D32" s="1072" t="s">
        <v>421</v>
      </c>
      <c r="E32" s="1072" t="s">
        <v>562</v>
      </c>
      <c r="F32" s="1072"/>
      <c r="G32" s="1072"/>
      <c r="H32" s="1072" t="s">
        <v>563</v>
      </c>
      <c r="I32" s="1072"/>
      <c r="J32" s="1072"/>
      <c r="K32" s="1072" t="s">
        <v>564</v>
      </c>
      <c r="L32" s="1072"/>
      <c r="M32" s="1072"/>
    </row>
    <row r="33" spans="2:15">
      <c r="B33" s="1072"/>
      <c r="C33" s="1072"/>
      <c r="D33" s="1072"/>
      <c r="E33" s="1072" t="s">
        <v>422</v>
      </c>
      <c r="F33" s="1072" t="s">
        <v>310</v>
      </c>
      <c r="G33" s="1072" t="s">
        <v>250</v>
      </c>
      <c r="H33" s="1072" t="s">
        <v>422</v>
      </c>
      <c r="I33" s="1072" t="s">
        <v>310</v>
      </c>
      <c r="J33" s="1072" t="s">
        <v>250</v>
      </c>
      <c r="K33" s="1072" t="s">
        <v>422</v>
      </c>
      <c r="L33" s="1072" t="s">
        <v>310</v>
      </c>
      <c r="M33" s="1072" t="s">
        <v>250</v>
      </c>
    </row>
    <row r="34" spans="2:15">
      <c r="B34" s="1072"/>
      <c r="C34" s="1072"/>
      <c r="D34" s="1072"/>
      <c r="E34" s="1072"/>
      <c r="F34" s="1072"/>
      <c r="G34" s="1072"/>
      <c r="H34" s="1072"/>
      <c r="I34" s="1072"/>
      <c r="J34" s="1072"/>
      <c r="K34" s="1072"/>
      <c r="L34" s="1072"/>
      <c r="M34" s="1072"/>
    </row>
    <row r="35" spans="2:15" ht="25.5">
      <c r="B35" s="816">
        <v>1</v>
      </c>
      <c r="C35" s="287" t="s">
        <v>434</v>
      </c>
      <c r="D35" s="816" t="s">
        <v>435</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434</v>
      </c>
      <c r="D36" s="816" t="s">
        <v>435</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941</v>
      </c>
      <c r="D37" s="837" t="s">
        <v>26</v>
      </c>
      <c r="E37" s="837" t="s">
        <v>26</v>
      </c>
      <c r="F37" s="837" t="s">
        <v>26</v>
      </c>
      <c r="G37" s="737">
        <f>SUM(G35:G36)</f>
        <v>12428476.800000001</v>
      </c>
      <c r="H37" s="837" t="s">
        <v>26</v>
      </c>
      <c r="I37" s="837" t="s">
        <v>26</v>
      </c>
      <c r="J37" s="711">
        <f>SUM(J35:J36)</f>
        <v>12428476.800000001</v>
      </c>
      <c r="K37" s="711" t="s">
        <v>26</v>
      </c>
      <c r="L37" s="711" t="s">
        <v>26</v>
      </c>
      <c r="M37" s="711">
        <f>SUM(M35:M36)</f>
        <v>4721038.38</v>
      </c>
    </row>
    <row r="38" spans="2:15" ht="38.25">
      <c r="B38" s="814">
        <v>3</v>
      </c>
      <c r="C38" s="815" t="s">
        <v>423</v>
      </c>
      <c r="D38" s="814" t="s">
        <v>424</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533</v>
      </c>
      <c r="D39" s="814" t="s">
        <v>400</v>
      </c>
      <c r="E39" s="814">
        <v>1</v>
      </c>
      <c r="F39" s="88">
        <v>2500</v>
      </c>
      <c r="G39" s="88">
        <f>E39*F39</f>
        <v>2500</v>
      </c>
      <c r="H39" s="814">
        <v>0</v>
      </c>
      <c r="I39" s="88">
        <v>0</v>
      </c>
      <c r="J39" s="88">
        <v>0</v>
      </c>
      <c r="K39" s="814">
        <v>0</v>
      </c>
      <c r="L39" s="88">
        <v>0</v>
      </c>
      <c r="M39" s="88">
        <v>0</v>
      </c>
    </row>
    <row r="40" spans="2:15" ht="89.25">
      <c r="B40" s="814">
        <v>5</v>
      </c>
      <c r="C40" s="815" t="s">
        <v>937</v>
      </c>
      <c r="D40" s="814" t="s">
        <v>400</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426</v>
      </c>
      <c r="D41" s="814" t="s">
        <v>400</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942</v>
      </c>
      <c r="D42" s="837" t="s">
        <v>26</v>
      </c>
      <c r="E42" s="837" t="s">
        <v>26</v>
      </c>
      <c r="F42" s="837" t="s">
        <v>26</v>
      </c>
      <c r="G42" s="737">
        <f>SUM(G38:G41)</f>
        <v>36499</v>
      </c>
      <c r="H42" s="837" t="s">
        <v>26</v>
      </c>
      <c r="I42" s="837" t="s">
        <v>26</v>
      </c>
      <c r="J42" s="711">
        <f>SUM(J38:J41)</f>
        <v>160644</v>
      </c>
      <c r="K42" s="711" t="s">
        <v>26</v>
      </c>
      <c r="L42" s="711" t="s">
        <v>26</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243</v>
      </c>
      <c r="C45" s="473"/>
      <c r="D45" s="473"/>
      <c r="E45" s="473"/>
      <c r="F45" s="473"/>
      <c r="G45" s="473"/>
      <c r="H45" s="473"/>
      <c r="I45" s="473"/>
      <c r="J45" s="473"/>
      <c r="K45" s="473"/>
      <c r="L45" s="473"/>
      <c r="M45" s="473"/>
    </row>
    <row r="46" spans="2:15">
      <c r="B46" s="319" t="s">
        <v>244</v>
      </c>
      <c r="C46" s="319"/>
      <c r="D46" s="319"/>
      <c r="E46" s="319"/>
      <c r="F46" s="319"/>
      <c r="G46" s="319"/>
      <c r="H46" s="319"/>
      <c r="I46" s="319"/>
      <c r="J46" s="319"/>
      <c r="K46" s="319"/>
      <c r="L46" s="319"/>
      <c r="M46" s="319"/>
    </row>
    <row r="47" spans="2:15">
      <c r="B47" s="319" t="s">
        <v>939</v>
      </c>
      <c r="C47" s="319"/>
      <c r="D47" s="319"/>
      <c r="E47" s="319"/>
      <c r="F47" s="319"/>
      <c r="G47" s="319"/>
      <c r="H47" s="319"/>
      <c r="I47" s="319"/>
      <c r="J47" s="319"/>
      <c r="K47" s="319"/>
      <c r="L47" s="319"/>
      <c r="M47" s="319"/>
    </row>
    <row r="48" spans="2:15">
      <c r="B48" s="319" t="s">
        <v>413</v>
      </c>
      <c r="C48" s="319"/>
      <c r="D48" s="319"/>
      <c r="E48" s="319"/>
      <c r="F48" s="319"/>
      <c r="G48" s="319"/>
      <c r="H48" s="319"/>
      <c r="I48" s="319"/>
      <c r="J48" s="319"/>
      <c r="K48" s="319"/>
      <c r="L48" s="319"/>
      <c r="M48" s="319"/>
    </row>
    <row r="49" spans="2:13">
      <c r="B49" s="1114" t="s">
        <v>179</v>
      </c>
      <c r="C49" s="1114" t="s">
        <v>247</v>
      </c>
      <c r="D49" s="1114" t="s">
        <v>421</v>
      </c>
      <c r="E49" s="1114" t="s">
        <v>562</v>
      </c>
      <c r="F49" s="1114"/>
      <c r="G49" s="1114"/>
      <c r="H49" s="1114" t="s">
        <v>563</v>
      </c>
      <c r="I49" s="1114"/>
      <c r="J49" s="1114"/>
      <c r="K49" s="1114" t="s">
        <v>564</v>
      </c>
      <c r="L49" s="1114"/>
      <c r="M49" s="1114"/>
    </row>
    <row r="50" spans="2:13" ht="25.5">
      <c r="B50" s="1114"/>
      <c r="C50" s="1114"/>
      <c r="D50" s="1114"/>
      <c r="E50" s="824" t="s">
        <v>422</v>
      </c>
      <c r="F50" s="824" t="s">
        <v>310</v>
      </c>
      <c r="G50" s="824" t="s">
        <v>250</v>
      </c>
      <c r="H50" s="824" t="s">
        <v>422</v>
      </c>
      <c r="I50" s="824" t="s">
        <v>310</v>
      </c>
      <c r="J50" s="824" t="s">
        <v>250</v>
      </c>
      <c r="K50" s="824" t="s">
        <v>422</v>
      </c>
      <c r="L50" s="824" t="s">
        <v>310</v>
      </c>
      <c r="M50" s="824" t="s">
        <v>250</v>
      </c>
    </row>
    <row r="51" spans="2:13" ht="38.25">
      <c r="B51" s="826">
        <v>1</v>
      </c>
      <c r="C51" s="867" t="s">
        <v>630</v>
      </c>
      <c r="D51" s="826" t="s">
        <v>400</v>
      </c>
      <c r="E51" s="826">
        <v>0</v>
      </c>
      <c r="F51" s="468">
        <v>0</v>
      </c>
      <c r="G51" s="468">
        <v>418590</v>
      </c>
      <c r="H51" s="826">
        <v>8</v>
      </c>
      <c r="I51" s="476">
        <f>J51/H51</f>
        <v>52323.75</v>
      </c>
      <c r="J51" s="476">
        <v>418590</v>
      </c>
      <c r="K51" s="824">
        <v>8</v>
      </c>
      <c r="L51" s="476">
        <f>M51/K51</f>
        <v>52323.75</v>
      </c>
      <c r="M51" s="476">
        <v>418590</v>
      </c>
    </row>
    <row r="52" spans="2:13" ht="38.25">
      <c r="B52" s="824">
        <v>2</v>
      </c>
      <c r="C52" s="467" t="s">
        <v>631</v>
      </c>
      <c r="D52" s="824" t="s">
        <v>400</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632</v>
      </c>
      <c r="D53" s="824" t="s">
        <v>400</v>
      </c>
      <c r="E53" s="824">
        <v>0</v>
      </c>
      <c r="F53" s="476">
        <v>0</v>
      </c>
      <c r="G53" s="476">
        <v>0</v>
      </c>
      <c r="H53" s="824">
        <v>10</v>
      </c>
      <c r="I53" s="476">
        <f>J53/H53</f>
        <v>7678.82</v>
      </c>
      <c r="J53" s="476">
        <v>76788.2</v>
      </c>
      <c r="K53" s="824">
        <v>10</v>
      </c>
      <c r="L53" s="476">
        <f>M53/K53</f>
        <v>7678.82</v>
      </c>
      <c r="M53" s="476">
        <v>76788.2</v>
      </c>
    </row>
    <row r="54" spans="2:13" ht="51">
      <c r="B54" s="824">
        <v>4</v>
      </c>
      <c r="C54" s="467" t="s">
        <v>651</v>
      </c>
      <c r="D54" s="824" t="s">
        <v>400</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257</v>
      </c>
      <c r="D55" s="492" t="s">
        <v>26</v>
      </c>
      <c r="E55" s="492" t="s">
        <v>26</v>
      </c>
      <c r="F55" s="869" t="s">
        <v>26</v>
      </c>
      <c r="G55" s="869">
        <f>SUM(G51:G54)</f>
        <v>2660417.15</v>
      </c>
      <c r="H55" s="493" t="s">
        <v>26</v>
      </c>
      <c r="I55" s="866" t="s">
        <v>26</v>
      </c>
      <c r="J55" s="866">
        <f>SUM(J51:J54)</f>
        <v>2409704.31</v>
      </c>
      <c r="K55" s="866" t="s">
        <v>26</v>
      </c>
      <c r="L55" s="866" t="s">
        <v>26</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238</v>
      </c>
      <c r="C58" s="539"/>
      <c r="D58" s="539"/>
      <c r="E58" s="539"/>
      <c r="F58" s="539"/>
      <c r="G58" s="539"/>
      <c r="H58" s="539"/>
      <c r="I58" s="539"/>
      <c r="J58" s="539"/>
      <c r="K58" s="539"/>
      <c r="L58" s="539"/>
      <c r="M58" s="539"/>
    </row>
    <row r="59" spans="2:13">
      <c r="B59" s="374" t="s">
        <v>239</v>
      </c>
    </row>
    <row r="60" spans="2:13">
      <c r="B60" s="374" t="s">
        <v>866</v>
      </c>
    </row>
    <row r="61" spans="2:13">
      <c r="B61" s="583" t="s">
        <v>940</v>
      </c>
    </row>
    <row r="62" spans="2:13">
      <c r="B62" s="1072" t="s">
        <v>179</v>
      </c>
      <c r="C62" s="1072" t="s">
        <v>247</v>
      </c>
      <c r="D62" s="1072" t="s">
        <v>421</v>
      </c>
      <c r="E62" s="1072" t="s">
        <v>562</v>
      </c>
      <c r="F62" s="1072"/>
      <c r="G62" s="1072"/>
      <c r="H62" s="1072" t="s">
        <v>563</v>
      </c>
      <c r="I62" s="1072"/>
      <c r="J62" s="1072"/>
      <c r="K62" s="1072" t="s">
        <v>564</v>
      </c>
      <c r="L62" s="1072"/>
      <c r="M62" s="1072"/>
    </row>
    <row r="63" spans="2:13">
      <c r="B63" s="1072"/>
      <c r="C63" s="1072"/>
      <c r="D63" s="1072"/>
      <c r="E63" s="1072" t="s">
        <v>422</v>
      </c>
      <c r="F63" s="1072" t="s">
        <v>310</v>
      </c>
      <c r="G63" s="1072" t="s">
        <v>250</v>
      </c>
      <c r="H63" s="1072" t="s">
        <v>422</v>
      </c>
      <c r="I63" s="1072" t="s">
        <v>310</v>
      </c>
      <c r="J63" s="1072" t="s">
        <v>250</v>
      </c>
      <c r="K63" s="1072" t="s">
        <v>422</v>
      </c>
      <c r="L63" s="1072" t="s">
        <v>310</v>
      </c>
      <c r="M63" s="1072" t="s">
        <v>250</v>
      </c>
    </row>
    <row r="64" spans="2:13">
      <c r="B64" s="1072"/>
      <c r="C64" s="1072"/>
      <c r="D64" s="1072"/>
      <c r="E64" s="1072"/>
      <c r="F64" s="1072"/>
      <c r="G64" s="1072"/>
      <c r="H64" s="1072"/>
      <c r="I64" s="1072"/>
      <c r="J64" s="1072"/>
      <c r="K64" s="1072"/>
      <c r="L64" s="1072"/>
      <c r="M64" s="1072"/>
    </row>
    <row r="65" spans="2:13">
      <c r="B65" s="814">
        <v>1</v>
      </c>
      <c r="C65" s="815" t="s">
        <v>425</v>
      </c>
      <c r="D65" s="814" t="s">
        <v>400</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938</v>
      </c>
      <c r="D66" s="814" t="s">
        <v>400</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429</v>
      </c>
      <c r="D67" s="814" t="s">
        <v>400</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433</v>
      </c>
      <c r="D68" s="816" t="s">
        <v>400</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257</v>
      </c>
      <c r="D69" s="842" t="s">
        <v>26</v>
      </c>
      <c r="E69" s="842" t="s">
        <v>26</v>
      </c>
      <c r="F69" s="842" t="s">
        <v>26</v>
      </c>
      <c r="G69" s="284">
        <f>SUM(G65:G68)</f>
        <v>282546.46999999997</v>
      </c>
      <c r="H69" s="842" t="s">
        <v>26</v>
      </c>
      <c r="I69" s="842" t="s">
        <v>26</v>
      </c>
      <c r="J69" s="88">
        <f>SUM(J65:J68)</f>
        <v>365532.84</v>
      </c>
      <c r="K69" s="88" t="s">
        <v>26</v>
      </c>
      <c r="L69" s="88" t="s">
        <v>26</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243</v>
      </c>
      <c r="C72" s="473"/>
      <c r="D72" s="473"/>
      <c r="E72" s="473"/>
      <c r="F72" s="473"/>
      <c r="G72" s="473"/>
      <c r="H72" s="473"/>
      <c r="I72" s="473"/>
      <c r="J72" s="473"/>
      <c r="K72" s="473"/>
      <c r="L72" s="473"/>
      <c r="M72" s="473"/>
    </row>
    <row r="73" spans="2:13">
      <c r="B73" s="319" t="s">
        <v>244</v>
      </c>
      <c r="C73" s="319"/>
      <c r="D73" s="319"/>
      <c r="E73" s="319"/>
      <c r="F73" s="319"/>
      <c r="G73" s="319"/>
      <c r="H73" s="319"/>
      <c r="I73" s="319"/>
      <c r="J73" s="319"/>
      <c r="K73" s="319"/>
      <c r="L73" s="319"/>
      <c r="M73" s="319"/>
    </row>
    <row r="74" spans="2:13">
      <c r="B74" s="319" t="s">
        <v>939</v>
      </c>
      <c r="C74" s="319"/>
      <c r="D74" s="319"/>
      <c r="E74" s="319"/>
      <c r="F74" s="319"/>
      <c r="G74" s="319"/>
      <c r="H74" s="319"/>
      <c r="I74" s="319"/>
      <c r="J74" s="319"/>
      <c r="K74" s="319"/>
      <c r="L74" s="319"/>
      <c r="M74" s="319"/>
    </row>
    <row r="75" spans="2:13">
      <c r="B75" s="319" t="s">
        <v>940</v>
      </c>
      <c r="C75" s="319"/>
      <c r="D75" s="319"/>
      <c r="E75" s="319"/>
      <c r="F75" s="319"/>
      <c r="G75" s="319"/>
      <c r="H75" s="319"/>
      <c r="I75" s="319"/>
      <c r="J75" s="319"/>
      <c r="K75" s="319"/>
      <c r="L75" s="319"/>
      <c r="M75" s="319"/>
    </row>
    <row r="76" spans="2:13">
      <c r="B76" s="1114" t="s">
        <v>179</v>
      </c>
      <c r="C76" s="1114" t="s">
        <v>247</v>
      </c>
      <c r="D76" s="1114" t="s">
        <v>421</v>
      </c>
      <c r="E76" s="1114" t="s">
        <v>562</v>
      </c>
      <c r="F76" s="1114"/>
      <c r="G76" s="1114"/>
      <c r="H76" s="1114" t="s">
        <v>563</v>
      </c>
      <c r="I76" s="1114"/>
      <c r="J76" s="1114"/>
      <c r="K76" s="1114" t="s">
        <v>564</v>
      </c>
      <c r="L76" s="1114"/>
      <c r="M76" s="1114"/>
    </row>
    <row r="77" spans="2:13" ht="25.5">
      <c r="B77" s="1114"/>
      <c r="C77" s="1114"/>
      <c r="D77" s="1114"/>
      <c r="E77" s="824" t="s">
        <v>422</v>
      </c>
      <c r="F77" s="824" t="s">
        <v>310</v>
      </c>
      <c r="G77" s="824" t="s">
        <v>250</v>
      </c>
      <c r="H77" s="824" t="s">
        <v>422</v>
      </c>
      <c r="I77" s="824" t="s">
        <v>310</v>
      </c>
      <c r="J77" s="824" t="s">
        <v>250</v>
      </c>
      <c r="K77" s="824" t="s">
        <v>422</v>
      </c>
      <c r="L77" s="824" t="s">
        <v>310</v>
      </c>
      <c r="M77" s="824" t="s">
        <v>250</v>
      </c>
    </row>
    <row r="78" spans="2:13" ht="38.25">
      <c r="B78" s="824">
        <v>1</v>
      </c>
      <c r="C78" s="467" t="s">
        <v>633</v>
      </c>
      <c r="D78" s="824" t="s">
        <v>400</v>
      </c>
      <c r="E78" s="824">
        <v>4</v>
      </c>
      <c r="F78" s="476">
        <f>G78/E78</f>
        <v>2625</v>
      </c>
      <c r="G78" s="476">
        <v>10500</v>
      </c>
      <c r="H78" s="824">
        <v>4</v>
      </c>
      <c r="I78" s="476">
        <v>2625</v>
      </c>
      <c r="J78" s="476">
        <v>10500</v>
      </c>
      <c r="K78" s="824">
        <v>4</v>
      </c>
      <c r="L78" s="476">
        <v>2625</v>
      </c>
      <c r="M78" s="476">
        <v>10500</v>
      </c>
    </row>
    <row r="79" spans="2:13" ht="76.5">
      <c r="B79" s="824">
        <v>2</v>
      </c>
      <c r="C79" s="467" t="s">
        <v>634</v>
      </c>
      <c r="D79" s="824" t="s">
        <v>400</v>
      </c>
      <c r="E79" s="824">
        <v>1</v>
      </c>
      <c r="F79" s="476">
        <v>8400</v>
      </c>
      <c r="G79" s="476">
        <f>F79*E79</f>
        <v>8400</v>
      </c>
      <c r="H79" s="824">
        <v>1</v>
      </c>
      <c r="I79" s="476">
        <v>8400</v>
      </c>
      <c r="J79" s="476">
        <v>8400</v>
      </c>
      <c r="K79" s="824">
        <v>1</v>
      </c>
      <c r="L79" s="476">
        <v>8400</v>
      </c>
      <c r="M79" s="476">
        <v>8400</v>
      </c>
    </row>
    <row r="80" spans="2:13">
      <c r="B80" s="824">
        <v>3</v>
      </c>
      <c r="C80" s="467" t="s">
        <v>425</v>
      </c>
      <c r="D80" s="824" t="s">
        <v>400</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257</v>
      </c>
      <c r="D81" s="492" t="s">
        <v>26</v>
      </c>
      <c r="E81" s="492" t="s">
        <v>26</v>
      </c>
      <c r="F81" s="869" t="s">
        <v>26</v>
      </c>
      <c r="G81" s="869">
        <f>SUM(G78:G80)</f>
        <v>86722.57</v>
      </c>
      <c r="H81" s="493" t="s">
        <v>26</v>
      </c>
      <c r="I81" s="866" t="s">
        <v>26</v>
      </c>
      <c r="J81" s="866">
        <f>SUM(J78:J80)</f>
        <v>86722.57</v>
      </c>
      <c r="K81" s="866" t="s">
        <v>26</v>
      </c>
      <c r="L81" s="866" t="s">
        <v>26</v>
      </c>
      <c r="M81" s="866">
        <f>SUM(M78:M80)</f>
        <v>86722.57</v>
      </c>
    </row>
    <row r="82" spans="2:15">
      <c r="B82" s="535"/>
      <c r="C82" s="533"/>
      <c r="D82" s="535"/>
      <c r="E82" s="535"/>
      <c r="F82" s="536"/>
      <c r="G82" s="536"/>
      <c r="H82" s="535"/>
      <c r="I82" s="536"/>
      <c r="J82" s="536"/>
      <c r="K82" s="535"/>
      <c r="L82" s="536"/>
      <c r="M82" s="536"/>
    </row>
    <row r="83" spans="2:15">
      <c r="B83" s="856" t="s">
        <v>243</v>
      </c>
      <c r="C83" s="856"/>
      <c r="D83" s="856"/>
      <c r="E83" s="856"/>
      <c r="F83" s="856"/>
      <c r="G83" s="856"/>
      <c r="H83" s="856"/>
      <c r="I83" s="856"/>
      <c r="J83" s="856"/>
      <c r="K83" s="856"/>
      <c r="L83" s="856"/>
      <c r="M83" s="856"/>
    </row>
    <row r="84" spans="2:15">
      <c r="B84" s="375" t="s">
        <v>244</v>
      </c>
      <c r="C84" s="375"/>
      <c r="D84" s="375"/>
      <c r="E84" s="375"/>
      <c r="F84" s="375"/>
      <c r="G84" s="375"/>
      <c r="H84" s="375"/>
      <c r="I84" s="375"/>
      <c r="J84" s="375"/>
      <c r="K84" s="375"/>
      <c r="L84" s="375"/>
      <c r="M84" s="375"/>
    </row>
    <row r="85" spans="2:15">
      <c r="B85" s="375" t="s">
        <v>939</v>
      </c>
      <c r="C85" s="375"/>
      <c r="D85" s="375"/>
      <c r="E85" s="375"/>
      <c r="F85" s="375"/>
      <c r="G85" s="375"/>
      <c r="H85" s="375"/>
      <c r="I85" s="375"/>
      <c r="J85" s="375"/>
      <c r="K85" s="375"/>
      <c r="L85" s="375"/>
      <c r="M85" s="375"/>
    </row>
    <row r="86" spans="2:15">
      <c r="B86" s="375" t="s">
        <v>945</v>
      </c>
      <c r="C86" s="375"/>
      <c r="D86" s="375"/>
      <c r="E86" s="375"/>
      <c r="F86" s="375"/>
      <c r="G86" s="375"/>
      <c r="H86" s="375"/>
      <c r="I86" s="375"/>
      <c r="J86" s="375"/>
      <c r="K86" s="375"/>
      <c r="L86" s="375"/>
      <c r="M86" s="375"/>
    </row>
    <row r="87" spans="2:15" ht="15" customHeight="1">
      <c r="B87" s="1061" t="s">
        <v>179</v>
      </c>
      <c r="C87" s="1061" t="s">
        <v>247</v>
      </c>
      <c r="D87" s="1061" t="s">
        <v>421</v>
      </c>
      <c r="E87" s="1061" t="s">
        <v>562</v>
      </c>
      <c r="F87" s="1061"/>
      <c r="G87" s="1061"/>
      <c r="H87" s="1061" t="s">
        <v>563</v>
      </c>
      <c r="I87" s="1061"/>
      <c r="J87" s="1061"/>
      <c r="K87" s="1061" t="s">
        <v>564</v>
      </c>
      <c r="L87" s="1061"/>
      <c r="M87" s="1061"/>
    </row>
    <row r="88" spans="2:15" ht="25.5">
      <c r="B88" s="1061"/>
      <c r="C88" s="1061"/>
      <c r="D88" s="1061"/>
      <c r="E88" s="825" t="s">
        <v>422</v>
      </c>
      <c r="F88" s="825" t="s">
        <v>310</v>
      </c>
      <c r="G88" s="825" t="s">
        <v>250</v>
      </c>
      <c r="H88" s="825" t="s">
        <v>422</v>
      </c>
      <c r="I88" s="825" t="s">
        <v>310</v>
      </c>
      <c r="J88" s="825" t="s">
        <v>250</v>
      </c>
      <c r="K88" s="825" t="s">
        <v>422</v>
      </c>
      <c r="L88" s="825" t="s">
        <v>310</v>
      </c>
      <c r="M88" s="825" t="s">
        <v>250</v>
      </c>
    </row>
    <row r="89" spans="2:15" ht="38.25">
      <c r="B89" s="825">
        <v>1</v>
      </c>
      <c r="C89" s="481" t="s">
        <v>946</v>
      </c>
      <c r="D89" s="825" t="s">
        <v>400</v>
      </c>
      <c r="E89" s="825">
        <v>4</v>
      </c>
      <c r="F89" s="482">
        <v>1100</v>
      </c>
      <c r="G89" s="482">
        <f>E89*F89</f>
        <v>4400</v>
      </c>
      <c r="H89" s="825">
        <v>0</v>
      </c>
      <c r="I89" s="482">
        <v>0</v>
      </c>
      <c r="J89" s="482">
        <v>0</v>
      </c>
      <c r="K89" s="825">
        <v>0</v>
      </c>
      <c r="L89" s="482">
        <v>0</v>
      </c>
      <c r="M89" s="482">
        <v>0</v>
      </c>
    </row>
    <row r="90" spans="2:15" ht="38.25">
      <c r="B90" s="825"/>
      <c r="C90" s="481" t="s">
        <v>947</v>
      </c>
      <c r="D90" s="825" t="s">
        <v>400</v>
      </c>
      <c r="E90" s="825">
        <v>6</v>
      </c>
      <c r="F90" s="482">
        <v>1100</v>
      </c>
      <c r="G90" s="482">
        <f>E90*F90</f>
        <v>6600</v>
      </c>
      <c r="H90" s="825">
        <v>0</v>
      </c>
      <c r="I90" s="482">
        <v>0</v>
      </c>
      <c r="J90" s="482">
        <v>0</v>
      </c>
      <c r="K90" s="825">
        <v>0</v>
      </c>
      <c r="L90" s="482">
        <v>0</v>
      </c>
      <c r="M90" s="482">
        <v>0</v>
      </c>
    </row>
    <row r="91" spans="2:15">
      <c r="B91" s="857"/>
      <c r="C91" s="858" t="s">
        <v>257</v>
      </c>
      <c r="D91" s="870" t="s">
        <v>26</v>
      </c>
      <c r="E91" s="870" t="s">
        <v>26</v>
      </c>
      <c r="F91" s="871" t="s">
        <v>26</v>
      </c>
      <c r="G91" s="871">
        <f>SUM(G89:G90)</f>
        <v>11000</v>
      </c>
      <c r="H91" s="872" t="s">
        <v>26</v>
      </c>
      <c r="I91" s="859" t="s">
        <v>26</v>
      </c>
      <c r="J91" s="859">
        <f>SUM(J89:J89)</f>
        <v>0</v>
      </c>
      <c r="K91" s="859" t="s">
        <v>26</v>
      </c>
      <c r="L91" s="859" t="s">
        <v>26</v>
      </c>
      <c r="M91" s="859">
        <f>SUM(M89:M89)</f>
        <v>0</v>
      </c>
    </row>
    <row r="92" spans="2:15">
      <c r="B92" s="535"/>
      <c r="C92" s="533"/>
      <c r="D92" s="535"/>
      <c r="E92" s="535"/>
      <c r="F92" s="536"/>
      <c r="G92" s="536"/>
      <c r="H92" s="535"/>
      <c r="I92" s="536"/>
      <c r="J92" s="536"/>
      <c r="K92" s="535"/>
      <c r="L92" s="536"/>
      <c r="M92" s="536"/>
    </row>
    <row r="93" spans="2:15" s="539" customFormat="1">
      <c r="B93" s="539" t="s">
        <v>238</v>
      </c>
      <c r="C93" s="846"/>
      <c r="D93" s="847"/>
      <c r="E93" s="847"/>
      <c r="F93" s="848"/>
      <c r="G93" s="848"/>
      <c r="H93" s="847"/>
      <c r="I93" s="848"/>
      <c r="J93" s="848"/>
      <c r="K93" s="847"/>
      <c r="L93" s="848"/>
      <c r="M93" s="848"/>
      <c r="N93" s="374"/>
      <c r="O93" s="374"/>
    </row>
    <row r="94" spans="2:15">
      <c r="B94" s="374" t="s">
        <v>239</v>
      </c>
      <c r="C94" s="533"/>
      <c r="D94" s="535"/>
      <c r="E94" s="535"/>
      <c r="F94" s="536"/>
      <c r="G94" s="536"/>
      <c r="H94" s="535"/>
      <c r="I94" s="536"/>
      <c r="J94" s="536"/>
      <c r="K94" s="535"/>
      <c r="L94" s="536"/>
      <c r="M94" s="536"/>
    </row>
    <row r="95" spans="2:15">
      <c r="B95" s="374" t="s">
        <v>866</v>
      </c>
      <c r="C95" s="533"/>
      <c r="D95" s="535"/>
      <c r="E95" s="535"/>
      <c r="F95" s="536"/>
      <c r="G95" s="536"/>
      <c r="H95" s="535"/>
      <c r="I95" s="536"/>
      <c r="J95" s="536"/>
      <c r="K95" s="535"/>
      <c r="L95" s="536"/>
      <c r="M95" s="536"/>
    </row>
    <row r="96" spans="2:15">
      <c r="B96" s="583" t="s">
        <v>935</v>
      </c>
      <c r="C96" s="533"/>
      <c r="D96" s="535"/>
      <c r="E96" s="535"/>
      <c r="F96" s="536"/>
      <c r="G96" s="536"/>
      <c r="H96" s="535"/>
      <c r="I96" s="536"/>
      <c r="J96" s="536"/>
      <c r="K96" s="535"/>
      <c r="L96" s="536"/>
      <c r="M96" s="536"/>
    </row>
    <row r="97" spans="2:15">
      <c r="B97" s="1072" t="s">
        <v>179</v>
      </c>
      <c r="C97" s="1072" t="s">
        <v>247</v>
      </c>
      <c r="D97" s="1072" t="s">
        <v>421</v>
      </c>
      <c r="E97" s="1072" t="s">
        <v>562</v>
      </c>
      <c r="F97" s="1072"/>
      <c r="G97" s="1072"/>
      <c r="H97" s="1072" t="s">
        <v>563</v>
      </c>
      <c r="I97" s="1072"/>
      <c r="J97" s="1072"/>
      <c r="K97" s="1072" t="s">
        <v>564</v>
      </c>
      <c r="L97" s="1072"/>
      <c r="M97" s="1072"/>
    </row>
    <row r="98" spans="2:15">
      <c r="B98" s="1072"/>
      <c r="C98" s="1072"/>
      <c r="D98" s="1072"/>
      <c r="E98" s="1072" t="s">
        <v>422</v>
      </c>
      <c r="F98" s="1116" t="s">
        <v>436</v>
      </c>
      <c r="G98" s="1116" t="s">
        <v>250</v>
      </c>
      <c r="H98" s="1116" t="s">
        <v>422</v>
      </c>
      <c r="I98" s="1072" t="s">
        <v>436</v>
      </c>
      <c r="J98" s="1072" t="s">
        <v>250</v>
      </c>
      <c r="K98" s="1072" t="s">
        <v>422</v>
      </c>
      <c r="L98" s="1072" t="s">
        <v>436</v>
      </c>
      <c r="M98" s="1072" t="s">
        <v>250</v>
      </c>
    </row>
    <row r="99" spans="2:15" ht="17.25" customHeight="1">
      <c r="B99" s="1072"/>
      <c r="C99" s="1072"/>
      <c r="D99" s="1072"/>
      <c r="E99" s="1072"/>
      <c r="F99" s="1116"/>
      <c r="G99" s="1116"/>
      <c r="H99" s="1116"/>
      <c r="I99" s="1072"/>
      <c r="J99" s="1072"/>
      <c r="K99" s="1072"/>
      <c r="L99" s="1072"/>
      <c r="M99" s="1072"/>
    </row>
    <row r="100" spans="2:15" ht="49.5" customHeight="1">
      <c r="B100" s="814">
        <v>1</v>
      </c>
      <c r="C100" s="815" t="s">
        <v>629</v>
      </c>
      <c r="D100" s="814" t="s">
        <v>400</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257</v>
      </c>
      <c r="D101" s="612" t="s">
        <v>26</v>
      </c>
      <c r="E101" s="840" t="s">
        <v>26</v>
      </c>
      <c r="F101" s="842" t="s">
        <v>26</v>
      </c>
      <c r="G101" s="284">
        <f>SUM(G100)</f>
        <v>2015316.06</v>
      </c>
      <c r="H101" s="842" t="s">
        <v>26</v>
      </c>
      <c r="I101" s="840" t="s">
        <v>26</v>
      </c>
      <c r="J101" s="88">
        <f>SUM(J100)</f>
        <v>2168787.38</v>
      </c>
      <c r="K101" s="840" t="s">
        <v>26</v>
      </c>
      <c r="L101" s="840" t="s">
        <v>26</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243</v>
      </c>
      <c r="C105" s="543"/>
      <c r="D105" s="543"/>
      <c r="E105" s="543"/>
      <c r="F105" s="543"/>
      <c r="G105" s="543"/>
      <c r="H105" s="543"/>
      <c r="I105" s="543"/>
      <c r="J105" s="543"/>
      <c r="K105" s="543"/>
      <c r="L105" s="543"/>
      <c r="M105" s="543"/>
    </row>
    <row r="106" spans="2:15" hidden="1">
      <c r="B106" s="374" t="s">
        <v>244</v>
      </c>
    </row>
    <row r="107" spans="2:15" hidden="1">
      <c r="B107" s="374" t="s">
        <v>413</v>
      </c>
    </row>
    <row r="108" spans="2:15" hidden="1">
      <c r="B108" s="1072" t="s">
        <v>179</v>
      </c>
      <c r="C108" s="1072" t="s">
        <v>247</v>
      </c>
      <c r="D108" s="1072" t="s">
        <v>421</v>
      </c>
      <c r="E108" s="1072" t="s">
        <v>216</v>
      </c>
      <c r="F108" s="1072"/>
      <c r="G108" s="1072"/>
      <c r="H108" s="1072" t="s">
        <v>217</v>
      </c>
      <c r="I108" s="1072"/>
      <c r="J108" s="1072"/>
      <c r="K108" s="1072" t="s">
        <v>218</v>
      </c>
      <c r="L108" s="1072"/>
      <c r="M108" s="1072"/>
    </row>
    <row r="109" spans="2:15" ht="25.5" hidden="1">
      <c r="B109" s="1072"/>
      <c r="C109" s="1072"/>
      <c r="D109" s="1072"/>
      <c r="E109" s="814" t="s">
        <v>422</v>
      </c>
      <c r="F109" s="814" t="s">
        <v>310</v>
      </c>
      <c r="G109" s="814" t="s">
        <v>250</v>
      </c>
      <c r="H109" s="814" t="s">
        <v>422</v>
      </c>
      <c r="I109" s="814" t="s">
        <v>310</v>
      </c>
      <c r="J109" s="814" t="s">
        <v>250</v>
      </c>
      <c r="K109" s="814" t="s">
        <v>422</v>
      </c>
      <c r="L109" s="814" t="s">
        <v>310</v>
      </c>
      <c r="M109" s="814" t="s">
        <v>250</v>
      </c>
    </row>
    <row r="110" spans="2:15" ht="38.25" hidden="1">
      <c r="B110" s="816">
        <v>1</v>
      </c>
      <c r="C110" s="287" t="s">
        <v>630</v>
      </c>
      <c r="D110" s="816" t="s">
        <v>400</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631</v>
      </c>
      <c r="D111" s="814" t="s">
        <v>400</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632</v>
      </c>
      <c r="D112" s="814" t="s">
        <v>400</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651</v>
      </c>
      <c r="D113" s="814" t="s">
        <v>400</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633</v>
      </c>
      <c r="D114" s="814" t="s">
        <v>400</v>
      </c>
      <c r="E114" s="814">
        <v>4</v>
      </c>
      <c r="F114" s="88">
        <f>G114/E114</f>
        <v>3150</v>
      </c>
      <c r="G114" s="88">
        <v>12600</v>
      </c>
      <c r="H114" s="814">
        <v>0</v>
      </c>
      <c r="I114" s="88">
        <v>0</v>
      </c>
      <c r="J114" s="88">
        <v>0</v>
      </c>
      <c r="K114" s="814">
        <v>0</v>
      </c>
      <c r="L114" s="88">
        <v>0</v>
      </c>
      <c r="M114" s="88">
        <v>0</v>
      </c>
    </row>
    <row r="115" spans="2:13" ht="76.5" hidden="1">
      <c r="B115" s="814">
        <v>6</v>
      </c>
      <c r="C115" s="815" t="s">
        <v>634</v>
      </c>
      <c r="D115" s="814" t="s">
        <v>400</v>
      </c>
      <c r="E115" s="814">
        <v>1</v>
      </c>
      <c r="F115" s="88">
        <v>8400</v>
      </c>
      <c r="G115" s="88">
        <f>F115*E115</f>
        <v>8400</v>
      </c>
      <c r="H115" s="814">
        <v>0</v>
      </c>
      <c r="I115" s="88">
        <v>0</v>
      </c>
      <c r="J115" s="88">
        <v>0</v>
      </c>
      <c r="K115" s="814">
        <v>0</v>
      </c>
      <c r="L115" s="88">
        <v>0</v>
      </c>
      <c r="M115" s="88">
        <v>0</v>
      </c>
    </row>
    <row r="116" spans="2:13" ht="38.25" hidden="1">
      <c r="B116" s="814">
        <v>7</v>
      </c>
      <c r="C116" s="815" t="s">
        <v>489</v>
      </c>
      <c r="D116" s="814" t="s">
        <v>400</v>
      </c>
      <c r="E116" s="814">
        <v>1</v>
      </c>
      <c r="F116" s="88">
        <v>99000</v>
      </c>
      <c r="G116" s="88">
        <f>F116*E116</f>
        <v>99000</v>
      </c>
      <c r="H116" s="814">
        <v>0</v>
      </c>
      <c r="I116" s="88">
        <v>0</v>
      </c>
      <c r="J116" s="88">
        <v>0</v>
      </c>
      <c r="K116" s="814">
        <v>0</v>
      </c>
      <c r="L116" s="88">
        <v>0</v>
      </c>
      <c r="M116" s="88">
        <v>0</v>
      </c>
    </row>
    <row r="117" spans="2:13" ht="51" hidden="1">
      <c r="B117" s="814">
        <v>8</v>
      </c>
      <c r="C117" s="815" t="s">
        <v>635</v>
      </c>
      <c r="D117" s="814" t="s">
        <v>400</v>
      </c>
      <c r="E117" s="814">
        <v>2</v>
      </c>
      <c r="F117" s="88">
        <f>G117/E117</f>
        <v>2600</v>
      </c>
      <c r="G117" s="88">
        <v>5200</v>
      </c>
      <c r="H117" s="814">
        <v>0</v>
      </c>
      <c r="I117" s="88">
        <v>0</v>
      </c>
      <c r="J117" s="88">
        <v>0</v>
      </c>
      <c r="K117" s="814">
        <v>0</v>
      </c>
      <c r="L117" s="88">
        <v>0</v>
      </c>
      <c r="M117" s="88">
        <v>0</v>
      </c>
    </row>
    <row r="118" spans="2:13" ht="51" hidden="1">
      <c r="B118" s="814">
        <v>9</v>
      </c>
      <c r="C118" s="815" t="s">
        <v>636</v>
      </c>
      <c r="D118" s="814" t="s">
        <v>400</v>
      </c>
      <c r="E118" s="814">
        <v>1</v>
      </c>
      <c r="F118" s="88">
        <v>10560</v>
      </c>
      <c r="G118" s="88">
        <f>E118*F118</f>
        <v>10560</v>
      </c>
      <c r="H118" s="814">
        <v>0</v>
      </c>
      <c r="I118" s="88">
        <v>0</v>
      </c>
      <c r="J118" s="88">
        <v>0</v>
      </c>
      <c r="K118" s="814">
        <v>0</v>
      </c>
      <c r="L118" s="88">
        <v>0</v>
      </c>
      <c r="M118" s="88">
        <v>0</v>
      </c>
    </row>
    <row r="119" spans="2:13" ht="38.25" hidden="1">
      <c r="B119" s="814">
        <v>10</v>
      </c>
      <c r="C119" s="815" t="s">
        <v>488</v>
      </c>
      <c r="D119" s="814" t="s">
        <v>400</v>
      </c>
      <c r="E119" s="814">
        <v>1</v>
      </c>
      <c r="F119" s="88">
        <v>19200</v>
      </c>
      <c r="G119" s="88">
        <f>E119*F119</f>
        <v>19200</v>
      </c>
      <c r="H119" s="814">
        <v>0</v>
      </c>
      <c r="I119" s="88">
        <v>0</v>
      </c>
      <c r="J119" s="88">
        <v>0</v>
      </c>
      <c r="K119" s="814">
        <v>0</v>
      </c>
      <c r="L119" s="88">
        <v>0</v>
      </c>
      <c r="M119" s="88">
        <v>0</v>
      </c>
    </row>
    <row r="120" spans="2:13" ht="51" hidden="1">
      <c r="B120" s="814">
        <v>11</v>
      </c>
      <c r="C120" s="815" t="s">
        <v>637</v>
      </c>
      <c r="D120" s="814" t="s">
        <v>400</v>
      </c>
      <c r="E120" s="814">
        <v>1</v>
      </c>
      <c r="F120" s="88">
        <f>G120/E120</f>
        <v>25000</v>
      </c>
      <c r="G120" s="88">
        <v>25000</v>
      </c>
      <c r="H120" s="814">
        <v>0</v>
      </c>
      <c r="I120" s="88">
        <v>0</v>
      </c>
      <c r="J120" s="88">
        <v>0</v>
      </c>
      <c r="K120" s="814">
        <v>0</v>
      </c>
      <c r="L120" s="88">
        <v>0</v>
      </c>
      <c r="M120" s="88">
        <v>0</v>
      </c>
    </row>
    <row r="121" spans="2:13" ht="89.25" hidden="1">
      <c r="B121" s="814">
        <v>12</v>
      </c>
      <c r="C121" s="815" t="s">
        <v>638</v>
      </c>
      <c r="D121" s="814" t="s">
        <v>400</v>
      </c>
      <c r="E121" s="814">
        <v>1</v>
      </c>
      <c r="F121" s="88">
        <f>G121/E121</f>
        <v>24900</v>
      </c>
      <c r="G121" s="88">
        <v>24900</v>
      </c>
      <c r="H121" s="814">
        <v>0</v>
      </c>
      <c r="I121" s="88">
        <v>0</v>
      </c>
      <c r="J121" s="88">
        <v>0</v>
      </c>
      <c r="K121" s="814">
        <v>0</v>
      </c>
      <c r="L121" s="88">
        <v>0</v>
      </c>
      <c r="M121" s="88">
        <v>0</v>
      </c>
    </row>
    <row r="122" spans="2:13" ht="25.5" hidden="1">
      <c r="B122" s="814">
        <v>13</v>
      </c>
      <c r="C122" s="815" t="s">
        <v>639</v>
      </c>
      <c r="D122" s="814" t="s">
        <v>400</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640</v>
      </c>
      <c r="D123" s="814" t="s">
        <v>400</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641</v>
      </c>
      <c r="D124" s="814" t="s">
        <v>400</v>
      </c>
      <c r="E124" s="814">
        <v>1</v>
      </c>
      <c r="F124" s="88">
        <v>60000</v>
      </c>
      <c r="G124" s="88">
        <v>60000</v>
      </c>
      <c r="H124" s="814">
        <v>0</v>
      </c>
      <c r="I124" s="88">
        <v>0</v>
      </c>
      <c r="J124" s="88">
        <v>0</v>
      </c>
      <c r="K124" s="814">
        <v>0</v>
      </c>
      <c r="L124" s="88">
        <v>0</v>
      </c>
      <c r="M124" s="88">
        <v>0</v>
      </c>
    </row>
    <row r="125" spans="2:13" ht="38.25" hidden="1">
      <c r="B125" s="814">
        <v>16</v>
      </c>
      <c r="C125" s="815" t="s">
        <v>642</v>
      </c>
      <c r="D125" s="814" t="s">
        <v>400</v>
      </c>
      <c r="E125" s="814">
        <v>12</v>
      </c>
      <c r="F125" s="88">
        <v>10000</v>
      </c>
      <c r="G125" s="88">
        <v>156000</v>
      </c>
      <c r="H125" s="814">
        <v>12</v>
      </c>
      <c r="I125" s="88">
        <v>10000</v>
      </c>
      <c r="J125" s="88">
        <v>100700.4</v>
      </c>
      <c r="K125" s="814">
        <v>12</v>
      </c>
      <c r="L125" s="88">
        <v>10000</v>
      </c>
      <c r="M125" s="88">
        <v>111183.88</v>
      </c>
    </row>
    <row r="126" spans="2:13" ht="51" hidden="1">
      <c r="B126" s="814">
        <v>17</v>
      </c>
      <c r="C126" s="815" t="s">
        <v>643</v>
      </c>
      <c r="D126" s="814" t="s">
        <v>400</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544</v>
      </c>
      <c r="D127" s="814" t="s">
        <v>400</v>
      </c>
      <c r="E127" s="814">
        <v>1</v>
      </c>
      <c r="F127" s="88">
        <f t="shared" si="17"/>
        <v>6350</v>
      </c>
      <c r="G127" s="88">
        <v>6350</v>
      </c>
      <c r="H127" s="814">
        <v>0</v>
      </c>
      <c r="I127" s="88">
        <v>0</v>
      </c>
      <c r="J127" s="88">
        <v>0</v>
      </c>
      <c r="K127" s="814">
        <v>0</v>
      </c>
      <c r="L127" s="88">
        <v>0</v>
      </c>
      <c r="M127" s="88">
        <v>0</v>
      </c>
    </row>
    <row r="128" spans="2:13" ht="51" hidden="1">
      <c r="B128" s="814">
        <v>19</v>
      </c>
      <c r="C128" s="815" t="s">
        <v>644</v>
      </c>
      <c r="D128" s="814" t="s">
        <v>400</v>
      </c>
      <c r="E128" s="814">
        <v>1</v>
      </c>
      <c r="F128" s="284">
        <f t="shared" si="17"/>
        <v>0</v>
      </c>
      <c r="G128" s="284">
        <v>0</v>
      </c>
      <c r="H128" s="816">
        <v>0</v>
      </c>
      <c r="I128" s="88">
        <v>0</v>
      </c>
      <c r="J128" s="88">
        <v>0</v>
      </c>
      <c r="K128" s="814">
        <v>0</v>
      </c>
      <c r="L128" s="88">
        <v>0</v>
      </c>
      <c r="M128" s="88">
        <v>0</v>
      </c>
    </row>
    <row r="129" spans="2:17" s="850" customFormat="1" ht="20.25" hidden="1">
      <c r="B129" s="595"/>
      <c r="C129" s="616" t="s">
        <v>257</v>
      </c>
      <c r="D129" s="840" t="s">
        <v>26</v>
      </c>
      <c r="E129" s="840" t="s">
        <v>26</v>
      </c>
      <c r="F129" s="841" t="s">
        <v>26</v>
      </c>
      <c r="G129" s="841">
        <f>G110+G111+G112+G113+G114+G115+G116+G117+G118+G119+G120+G121+G122+G123+G124+G125+G126+G127+G128</f>
        <v>1226359.6599999999</v>
      </c>
      <c r="H129" s="842" t="s">
        <v>26</v>
      </c>
      <c r="I129" s="833" t="s">
        <v>26</v>
      </c>
      <c r="J129" s="833">
        <f>SUM(J110:J128)</f>
        <v>2662888.88</v>
      </c>
      <c r="K129" s="833" t="s">
        <v>26</v>
      </c>
      <c r="L129" s="833" t="s">
        <v>26</v>
      </c>
      <c r="M129" s="833">
        <f>SUM(M110:M128)</f>
        <v>2675018.4700000002</v>
      </c>
    </row>
    <row r="130" spans="2:17" hidden="1"/>
    <row r="131" spans="2:17" hidden="1">
      <c r="B131" s="545" t="s">
        <v>246</v>
      </c>
      <c r="C131" s="545"/>
      <c r="D131" s="545"/>
      <c r="E131" s="545"/>
      <c r="F131" s="545"/>
      <c r="G131" s="545"/>
      <c r="H131" s="545"/>
      <c r="I131" s="545"/>
      <c r="J131" s="545"/>
      <c r="K131" s="545"/>
      <c r="L131" s="545"/>
      <c r="M131" s="545"/>
    </row>
    <row r="132" spans="2:17" hidden="1">
      <c r="B132" s="374" t="s">
        <v>242</v>
      </c>
    </row>
    <row r="133" spans="2:17" hidden="1">
      <c r="B133" s="374" t="s">
        <v>438</v>
      </c>
    </row>
    <row r="134" spans="2:17" s="539" customFormat="1" hidden="1">
      <c r="B134" s="583" t="s">
        <v>439</v>
      </c>
      <c r="C134" s="851"/>
      <c r="D134" s="851"/>
      <c r="E134" s="851"/>
      <c r="F134" s="851"/>
      <c r="G134" s="851"/>
      <c r="H134" s="851"/>
      <c r="I134" s="851"/>
      <c r="J134" s="851"/>
      <c r="K134" s="851"/>
      <c r="L134" s="851"/>
      <c r="M134" s="851"/>
      <c r="N134" s="374"/>
      <c r="O134" s="374"/>
    </row>
    <row r="135" spans="2:17" hidden="1">
      <c r="B135" s="1072" t="s">
        <v>179</v>
      </c>
      <c r="C135" s="1072" t="s">
        <v>247</v>
      </c>
      <c r="D135" s="1072" t="s">
        <v>421</v>
      </c>
      <c r="E135" s="1072" t="s">
        <v>216</v>
      </c>
      <c r="F135" s="1072"/>
      <c r="G135" s="1072"/>
      <c r="H135" s="1072" t="s">
        <v>217</v>
      </c>
      <c r="I135" s="1072"/>
      <c r="J135" s="1072"/>
      <c r="K135" s="1072" t="s">
        <v>218</v>
      </c>
      <c r="L135" s="1072"/>
      <c r="M135" s="1072"/>
    </row>
    <row r="136" spans="2:17" hidden="1">
      <c r="B136" s="1072"/>
      <c r="C136" s="1072"/>
      <c r="D136" s="1072"/>
      <c r="E136" s="1072" t="s">
        <v>422</v>
      </c>
      <c r="F136" s="1072" t="s">
        <v>310</v>
      </c>
      <c r="G136" s="1072" t="s">
        <v>250</v>
      </c>
      <c r="H136" s="1072" t="s">
        <v>422</v>
      </c>
      <c r="I136" s="814" t="s">
        <v>369</v>
      </c>
      <c r="J136" s="1072" t="s">
        <v>250</v>
      </c>
      <c r="K136" s="1072" t="s">
        <v>422</v>
      </c>
      <c r="L136" s="814" t="s">
        <v>369</v>
      </c>
      <c r="M136" s="1072" t="s">
        <v>250</v>
      </c>
    </row>
    <row r="137" spans="2:17" hidden="1">
      <c r="B137" s="1072"/>
      <c r="C137" s="1072"/>
      <c r="D137" s="1072"/>
      <c r="E137" s="1072"/>
      <c r="F137" s="1072"/>
      <c r="G137" s="1072"/>
      <c r="H137" s="1072"/>
      <c r="I137" s="814" t="s">
        <v>437</v>
      </c>
      <c r="J137" s="1072"/>
      <c r="K137" s="1072"/>
      <c r="L137" s="814" t="s">
        <v>437</v>
      </c>
      <c r="M137" s="1072"/>
    </row>
    <row r="138" spans="2:17" ht="25.5" hidden="1">
      <c r="B138" s="814">
        <v>1</v>
      </c>
      <c r="C138" s="815" t="s">
        <v>440</v>
      </c>
      <c r="D138" s="814" t="s">
        <v>400</v>
      </c>
      <c r="E138" s="814">
        <v>1</v>
      </c>
      <c r="F138" s="852">
        <v>52833.25</v>
      </c>
      <c r="G138" s="852">
        <v>0</v>
      </c>
      <c r="H138" s="714">
        <v>0</v>
      </c>
      <c r="I138" s="714">
        <v>0</v>
      </c>
      <c r="J138" s="714">
        <v>0</v>
      </c>
      <c r="K138" s="714">
        <v>0</v>
      </c>
      <c r="L138" s="714">
        <v>0</v>
      </c>
      <c r="M138" s="714">
        <v>0</v>
      </c>
    </row>
    <row r="139" spans="2:17" hidden="1">
      <c r="B139" s="595"/>
      <c r="C139" s="616" t="s">
        <v>257</v>
      </c>
      <c r="D139" s="612" t="s">
        <v>26</v>
      </c>
      <c r="E139" s="853">
        <f>SUM(E138)</f>
        <v>1</v>
      </c>
      <c r="F139" s="852">
        <f>SUM(F138)</f>
        <v>52833.25</v>
      </c>
      <c r="G139" s="852">
        <f>SUM(G138)</f>
        <v>0</v>
      </c>
      <c r="H139" s="714">
        <v>0</v>
      </c>
      <c r="I139" s="714">
        <v>0</v>
      </c>
      <c r="J139" s="714">
        <v>0</v>
      </c>
      <c r="K139" s="714">
        <v>0</v>
      </c>
      <c r="L139" s="714">
        <v>0</v>
      </c>
      <c r="M139" s="714">
        <v>0</v>
      </c>
    </row>
    <row r="140" spans="2:17" hidden="1">
      <c r="Q140" s="374" t="s">
        <v>441</v>
      </c>
    </row>
    <row r="141" spans="2:17" ht="15.75" hidden="1">
      <c r="B141" s="586" t="s">
        <v>442</v>
      </c>
    </row>
    <row r="142" spans="2:17" hidden="1">
      <c r="B142" s="374" t="s">
        <v>291</v>
      </c>
    </row>
    <row r="143" spans="2:17" hidden="1">
      <c r="B143" s="583" t="s">
        <v>292</v>
      </c>
    </row>
    <row r="144" spans="2:17" hidden="1">
      <c r="B144" s="1072" t="s">
        <v>179</v>
      </c>
      <c r="C144" s="1072" t="s">
        <v>247</v>
      </c>
      <c r="D144" s="1072" t="s">
        <v>443</v>
      </c>
      <c r="E144" s="1072" t="s">
        <v>277</v>
      </c>
      <c r="F144" s="1072"/>
      <c r="G144" s="1072"/>
      <c r="H144" s="1072" t="s">
        <v>278</v>
      </c>
      <c r="I144" s="1072"/>
      <c r="J144" s="1072"/>
      <c r="K144" s="1072" t="s">
        <v>279</v>
      </c>
      <c r="L144" s="1072"/>
      <c r="M144" s="1072"/>
    </row>
    <row r="145" spans="2:13" hidden="1">
      <c r="B145" s="1072"/>
      <c r="C145" s="1072"/>
      <c r="D145" s="1072"/>
      <c r="E145" s="1072" t="s">
        <v>422</v>
      </c>
      <c r="F145" s="1072" t="s">
        <v>310</v>
      </c>
      <c r="G145" s="1072" t="s">
        <v>250</v>
      </c>
      <c r="H145" s="1072" t="s">
        <v>422</v>
      </c>
      <c r="I145" s="814" t="s">
        <v>369</v>
      </c>
      <c r="J145" s="1072" t="s">
        <v>250</v>
      </c>
      <c r="K145" s="1072" t="s">
        <v>422</v>
      </c>
      <c r="L145" s="814" t="s">
        <v>369</v>
      </c>
      <c r="M145" s="1072" t="s">
        <v>250</v>
      </c>
    </row>
    <row r="146" spans="2:13" hidden="1">
      <c r="B146" s="1072"/>
      <c r="C146" s="1072"/>
      <c r="D146" s="1072"/>
      <c r="E146" s="1072"/>
      <c r="F146" s="1072"/>
      <c r="G146" s="1072"/>
      <c r="H146" s="1072"/>
      <c r="I146" s="814" t="s">
        <v>437</v>
      </c>
      <c r="J146" s="1072"/>
      <c r="K146" s="1072"/>
      <c r="L146" s="814" t="s">
        <v>437</v>
      </c>
      <c r="M146" s="1072"/>
    </row>
    <row r="147" spans="2:13" hidden="1">
      <c r="B147" s="815"/>
      <c r="C147" s="815"/>
      <c r="D147" s="584"/>
      <c r="E147" s="584"/>
      <c r="F147" s="584"/>
      <c r="G147" s="584"/>
      <c r="H147" s="584"/>
      <c r="I147" s="584"/>
      <c r="J147" s="584"/>
      <c r="K147" s="584"/>
      <c r="L147" s="584"/>
      <c r="M147" s="584"/>
    </row>
    <row r="148" spans="2:13" ht="15.75" hidden="1">
      <c r="B148" s="586" t="s">
        <v>444</v>
      </c>
    </row>
    <row r="149" spans="2:13" hidden="1"/>
    <row r="150" spans="2:13" hidden="1">
      <c r="B150" s="374" t="s">
        <v>291</v>
      </c>
    </row>
    <row r="151" spans="2:13" hidden="1"/>
    <row r="152" spans="2:13" hidden="1">
      <c r="B152" s="583" t="s">
        <v>292</v>
      </c>
    </row>
    <row r="153" spans="2:13" hidden="1">
      <c r="B153" s="1072" t="s">
        <v>179</v>
      </c>
      <c r="C153" s="1072" t="s">
        <v>247</v>
      </c>
      <c r="D153" s="1072" t="s">
        <v>443</v>
      </c>
      <c r="E153" s="1072" t="s">
        <v>277</v>
      </c>
      <c r="F153" s="1072"/>
      <c r="G153" s="1072"/>
      <c r="H153" s="1072" t="s">
        <v>278</v>
      </c>
      <c r="I153" s="1072"/>
      <c r="J153" s="1072"/>
      <c r="K153" s="1072" t="s">
        <v>279</v>
      </c>
      <c r="L153" s="1072"/>
      <c r="M153" s="1072"/>
    </row>
    <row r="154" spans="2:13" hidden="1">
      <c r="B154" s="1072"/>
      <c r="C154" s="1072"/>
      <c r="D154" s="1072"/>
      <c r="E154" s="1072" t="s">
        <v>422</v>
      </c>
      <c r="F154" s="1072" t="s">
        <v>310</v>
      </c>
      <c r="G154" s="1072" t="s">
        <v>250</v>
      </c>
      <c r="H154" s="1072" t="s">
        <v>422</v>
      </c>
      <c r="I154" s="814" t="s">
        <v>369</v>
      </c>
      <c r="J154" s="1072" t="s">
        <v>250</v>
      </c>
      <c r="K154" s="1072" t="s">
        <v>422</v>
      </c>
      <c r="L154" s="814" t="s">
        <v>403</v>
      </c>
      <c r="M154" s="1072" t="s">
        <v>250</v>
      </c>
    </row>
    <row r="155" spans="2:13" hidden="1">
      <c r="B155" s="1072"/>
      <c r="C155" s="1072"/>
      <c r="D155" s="1072"/>
      <c r="E155" s="1072"/>
      <c r="F155" s="1072"/>
      <c r="G155" s="1072"/>
      <c r="H155" s="1072"/>
      <c r="I155" s="814" t="s">
        <v>437</v>
      </c>
      <c r="J155" s="1072"/>
      <c r="K155" s="1072"/>
      <c r="L155" s="814" t="s">
        <v>445</v>
      </c>
      <c r="M155" s="1072"/>
    </row>
    <row r="156" spans="2:13" hidden="1">
      <c r="B156" s="724"/>
      <c r="C156" s="724"/>
      <c r="D156" s="724"/>
      <c r="E156" s="724"/>
      <c r="F156" s="724"/>
      <c r="G156" s="724"/>
      <c r="H156" s="724"/>
      <c r="I156" s="724"/>
      <c r="J156" s="724"/>
      <c r="K156" s="724"/>
      <c r="L156" s="724"/>
      <c r="M156" s="724"/>
    </row>
    <row r="157" spans="2:13" hidden="1">
      <c r="B157" s="545" t="s">
        <v>246</v>
      </c>
      <c r="C157" s="545"/>
      <c r="D157" s="545"/>
      <c r="E157" s="545"/>
      <c r="F157" s="545"/>
      <c r="G157" s="545"/>
      <c r="H157" s="545"/>
      <c r="I157" s="545"/>
      <c r="J157" s="545"/>
      <c r="K157" s="545"/>
      <c r="L157" s="545"/>
      <c r="M157" s="545"/>
    </row>
    <row r="158" spans="2:13" hidden="1">
      <c r="B158" s="374" t="s">
        <v>242</v>
      </c>
    </row>
    <row r="159" spans="2:13" hidden="1">
      <c r="B159" s="374" t="s">
        <v>282</v>
      </c>
    </row>
    <row r="160" spans="2:13" hidden="1">
      <c r="B160" s="583" t="s">
        <v>413</v>
      </c>
    </row>
    <row r="161" spans="2:15" s="539" customFormat="1" hidden="1">
      <c r="B161" s="1072" t="s">
        <v>179</v>
      </c>
      <c r="C161" s="1072" t="s">
        <v>247</v>
      </c>
      <c r="D161" s="1072" t="s">
        <v>421</v>
      </c>
      <c r="E161" s="1072" t="s">
        <v>216</v>
      </c>
      <c r="F161" s="1072"/>
      <c r="G161" s="1072"/>
      <c r="H161" s="1072" t="s">
        <v>217</v>
      </c>
      <c r="I161" s="1072"/>
      <c r="J161" s="1072"/>
      <c r="K161" s="1072" t="s">
        <v>218</v>
      </c>
      <c r="L161" s="1072"/>
      <c r="M161" s="1072"/>
      <c r="N161" s="374"/>
      <c r="O161" s="374"/>
    </row>
    <row r="162" spans="2:15" hidden="1">
      <c r="B162" s="1072"/>
      <c r="C162" s="1072"/>
      <c r="D162" s="1072"/>
      <c r="E162" s="1072" t="s">
        <v>422</v>
      </c>
      <c r="F162" s="1072" t="s">
        <v>310</v>
      </c>
      <c r="G162" s="1072" t="s">
        <v>250</v>
      </c>
      <c r="H162" s="1072" t="s">
        <v>422</v>
      </c>
      <c r="I162" s="814" t="s">
        <v>369</v>
      </c>
      <c r="J162" s="1072" t="s">
        <v>250</v>
      </c>
      <c r="K162" s="1072" t="s">
        <v>422</v>
      </c>
      <c r="L162" s="814" t="s">
        <v>369</v>
      </c>
      <c r="M162" s="1072" t="s">
        <v>250</v>
      </c>
    </row>
    <row r="163" spans="2:15" hidden="1">
      <c r="B163" s="1072"/>
      <c r="C163" s="1072"/>
      <c r="D163" s="1072"/>
      <c r="E163" s="1072"/>
      <c r="F163" s="1072"/>
      <c r="G163" s="1072"/>
      <c r="H163" s="1072"/>
      <c r="I163" s="814" t="s">
        <v>437</v>
      </c>
      <c r="J163" s="1072"/>
      <c r="K163" s="1072"/>
      <c r="L163" s="814" t="s">
        <v>437</v>
      </c>
      <c r="M163" s="1072"/>
    </row>
    <row r="164" spans="2:15" ht="25.5" hidden="1">
      <c r="B164" s="814">
        <v>1</v>
      </c>
      <c r="C164" s="815" t="s">
        <v>446</v>
      </c>
      <c r="D164" s="854" t="s">
        <v>400</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447</v>
      </c>
      <c r="D165" s="854" t="s">
        <v>400</v>
      </c>
      <c r="E165" s="854">
        <v>0</v>
      </c>
      <c r="F165" s="852" t="e">
        <f t="shared" si="18"/>
        <v>#DIV/0!</v>
      </c>
      <c r="G165" s="852">
        <v>0</v>
      </c>
      <c r="H165" s="855">
        <v>0</v>
      </c>
      <c r="I165" s="855">
        <v>0</v>
      </c>
      <c r="J165" s="855">
        <v>0</v>
      </c>
      <c r="K165" s="855">
        <v>0</v>
      </c>
      <c r="L165" s="855">
        <v>0</v>
      </c>
      <c r="M165" s="855">
        <v>0</v>
      </c>
    </row>
    <row r="166" spans="2:15" hidden="1">
      <c r="B166" s="814">
        <v>3</v>
      </c>
      <c r="C166" s="815" t="s">
        <v>448</v>
      </c>
      <c r="D166" s="854" t="s">
        <v>400</v>
      </c>
      <c r="E166" s="854">
        <v>0</v>
      </c>
      <c r="F166" s="852">
        <v>0</v>
      </c>
      <c r="G166" s="852">
        <v>0</v>
      </c>
      <c r="H166" s="855">
        <v>0</v>
      </c>
      <c r="I166" s="855">
        <v>0</v>
      </c>
      <c r="J166" s="855">
        <v>0</v>
      </c>
      <c r="K166" s="855">
        <v>0</v>
      </c>
      <c r="L166" s="855">
        <v>0</v>
      </c>
      <c r="M166" s="855">
        <v>0</v>
      </c>
    </row>
    <row r="167" spans="2:15" hidden="1">
      <c r="B167" s="595"/>
      <c r="C167" s="616" t="s">
        <v>257</v>
      </c>
      <c r="D167" s="612" t="s">
        <v>26</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449</v>
      </c>
      <c r="O169" s="791"/>
    </row>
    <row r="170" spans="2:15" hidden="1"/>
    <row r="172" spans="2:15">
      <c r="E172" s="374">
        <v>2023</v>
      </c>
      <c r="F172" s="374">
        <v>2024</v>
      </c>
      <c r="G172" s="374">
        <v>2025</v>
      </c>
    </row>
    <row r="173" spans="2:15" hidden="1">
      <c r="B173" s="374">
        <v>2</v>
      </c>
      <c r="C173" s="374" t="s">
        <v>901</v>
      </c>
      <c r="D173" s="374">
        <v>224</v>
      </c>
      <c r="E173" s="374">
        <f>0</f>
        <v>0</v>
      </c>
      <c r="F173" s="374">
        <v>0</v>
      </c>
      <c r="G173" s="374">
        <v>0</v>
      </c>
    </row>
    <row r="174" spans="2:15" hidden="1">
      <c r="B174" s="374">
        <v>4</v>
      </c>
      <c r="C174" s="374" t="s">
        <v>901</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901</v>
      </c>
      <c r="D177" s="374">
        <v>226</v>
      </c>
      <c r="E177" s="802">
        <f>G24+G55</f>
        <v>2660417.15</v>
      </c>
      <c r="F177" s="802">
        <f>K24+J55</f>
        <v>2909487.97</v>
      </c>
      <c r="G177" s="802">
        <f>O24+M55</f>
        <v>2911352.14</v>
      </c>
    </row>
    <row r="178" spans="2:10" hidden="1">
      <c r="B178" s="374">
        <v>4</v>
      </c>
      <c r="C178" s="374" t="s">
        <v>901</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943</v>
      </c>
      <c r="D181" s="374">
        <v>226</v>
      </c>
      <c r="E181" s="802">
        <f>G81</f>
        <v>86722.57</v>
      </c>
      <c r="F181" s="802">
        <f>J81</f>
        <v>86722.57</v>
      </c>
      <c r="G181" s="802">
        <f>M81</f>
        <v>86722.57</v>
      </c>
    </row>
    <row r="182" spans="2:10" hidden="1">
      <c r="B182" s="374">
        <v>4</v>
      </c>
      <c r="C182" s="374" t="s">
        <v>943</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901</v>
      </c>
      <c r="E187" s="802">
        <f>G24+G55</f>
        <v>2660417.15</v>
      </c>
      <c r="F187" s="802">
        <f>K24+J55</f>
        <v>2909487.97</v>
      </c>
      <c r="G187" s="802">
        <f>O24+M55</f>
        <v>2911352.14</v>
      </c>
    </row>
    <row r="188" spans="2:10">
      <c r="B188" s="374">
        <v>2</v>
      </c>
      <c r="C188" s="374" t="s">
        <v>943</v>
      </c>
      <c r="E188" s="802">
        <f>G81</f>
        <v>86722.57</v>
      </c>
      <c r="F188" s="802">
        <f>J81</f>
        <v>86722.57</v>
      </c>
      <c r="G188" s="802">
        <f>M81</f>
        <v>86722.57</v>
      </c>
    </row>
    <row r="189" spans="2:10">
      <c r="B189" s="374">
        <v>2</v>
      </c>
      <c r="C189" s="374" t="s">
        <v>944</v>
      </c>
      <c r="E189" s="802">
        <f>G91</f>
        <v>11000</v>
      </c>
      <c r="F189" s="802">
        <f>J91</f>
        <v>0</v>
      </c>
      <c r="G189" s="802">
        <f>M91</f>
        <v>0</v>
      </c>
    </row>
    <row r="191" spans="2:10">
      <c r="F191" s="804"/>
      <c r="G191" s="804"/>
    </row>
    <row r="193" spans="3:8">
      <c r="C193" s="374" t="s">
        <v>901</v>
      </c>
      <c r="E193" s="804">
        <f>G14+G42</f>
        <v>1343981.37</v>
      </c>
      <c r="F193" s="804">
        <f>K14+J42</f>
        <v>681035.74</v>
      </c>
      <c r="G193" s="804">
        <f>O14+M42</f>
        <v>599430.61</v>
      </c>
    </row>
    <row r="194" spans="3:8">
      <c r="C194" s="374" t="s">
        <v>943</v>
      </c>
      <c r="E194" s="802">
        <f>G69</f>
        <v>282546.46999999997</v>
      </c>
      <c r="F194" s="802">
        <f>J69</f>
        <v>365532.84</v>
      </c>
      <c r="G194" s="802">
        <f>M69</f>
        <v>365532.84</v>
      </c>
    </row>
    <row r="195" spans="3:8">
      <c r="C195" s="374" t="s">
        <v>904</v>
      </c>
      <c r="E195" s="802">
        <f>G101</f>
        <v>2015316.06</v>
      </c>
      <c r="F195" s="802">
        <f>J101</f>
        <v>2168787.38</v>
      </c>
      <c r="G195" s="802">
        <f>M101</f>
        <v>2294502.7799999998</v>
      </c>
    </row>
    <row r="208" spans="3:8">
      <c r="H208" s="374" t="s">
        <v>948</v>
      </c>
    </row>
  </sheetData>
  <mergeCells count="159">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H144:J144"/>
    <mergeCell ref="K144:M144"/>
    <mergeCell ref="E145:E146"/>
    <mergeCell ref="F145:F146"/>
    <mergeCell ref="G145:G146"/>
    <mergeCell ref="H145:H146"/>
    <mergeCell ref="J145:J146"/>
    <mergeCell ref="K145:K146"/>
    <mergeCell ref="M145:M146"/>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N10:N11"/>
    <mergeCell ref="O10:O11"/>
    <mergeCell ref="B9:B11"/>
    <mergeCell ref="C9:C11"/>
    <mergeCell ref="D9:G9"/>
    <mergeCell ref="H9:K9"/>
    <mergeCell ref="L9:O9"/>
    <mergeCell ref="D10:D11"/>
    <mergeCell ref="F10:F11"/>
    <mergeCell ref="G10:G11"/>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330</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497</v>
      </c>
    </row>
    <row r="3" spans="1:17" s="463" customFormat="1">
      <c r="A3" s="539" t="s">
        <v>238</v>
      </c>
      <c r="B3" s="540"/>
      <c r="C3" s="540"/>
      <c r="D3" s="540"/>
      <c r="E3" s="540"/>
      <c r="F3" s="540"/>
      <c r="G3" s="540"/>
      <c r="H3" s="540"/>
      <c r="I3" s="540"/>
      <c r="J3" s="540"/>
      <c r="K3" s="540"/>
      <c r="L3" s="540"/>
      <c r="M3" s="540"/>
      <c r="N3" s="540"/>
      <c r="O3" s="591"/>
    </row>
    <row r="4" spans="1:17" s="464" customFormat="1">
      <c r="A4" s="374" t="s">
        <v>239</v>
      </c>
      <c r="B4" s="538"/>
      <c r="C4" s="538"/>
      <c r="D4" s="538"/>
      <c r="E4" s="538"/>
      <c r="F4" s="538"/>
      <c r="G4" s="538"/>
      <c r="H4" s="538"/>
      <c r="I4" s="538"/>
      <c r="J4" s="538"/>
      <c r="K4" s="538"/>
      <c r="L4" s="538"/>
      <c r="M4" s="538"/>
      <c r="N4" s="538"/>
      <c r="O4" s="591"/>
    </row>
    <row r="5" spans="1:17" s="464" customFormat="1">
      <c r="A5" s="374" t="s">
        <v>240</v>
      </c>
      <c r="B5" s="538"/>
      <c r="C5" s="538"/>
      <c r="D5" s="538"/>
      <c r="E5" s="538"/>
      <c r="F5" s="538"/>
      <c r="G5" s="538"/>
      <c r="H5" s="538"/>
      <c r="I5" s="538"/>
      <c r="J5" s="538"/>
      <c r="K5" s="538"/>
      <c r="L5" s="538"/>
      <c r="M5" s="538"/>
      <c r="N5" s="538"/>
      <c r="O5" s="591"/>
    </row>
    <row r="6" spans="1:17" s="464" customFormat="1">
      <c r="A6" s="374" t="s">
        <v>583</v>
      </c>
      <c r="B6" s="538"/>
      <c r="C6" s="538"/>
      <c r="D6" s="538"/>
      <c r="E6" s="538"/>
      <c r="F6" s="538"/>
      <c r="G6" s="538"/>
      <c r="H6" s="538"/>
      <c r="I6" s="538"/>
      <c r="J6" s="538"/>
      <c r="K6" s="538"/>
      <c r="L6" s="538"/>
      <c r="M6" s="538"/>
      <c r="N6" s="538"/>
      <c r="O6" s="591"/>
    </row>
    <row r="7" spans="1:17" s="464" customFormat="1">
      <c r="A7" s="1072" t="s">
        <v>179</v>
      </c>
      <c r="B7" s="1072" t="s">
        <v>9</v>
      </c>
      <c r="C7" s="1072" t="s">
        <v>216</v>
      </c>
      <c r="D7" s="1072"/>
      <c r="E7" s="1072"/>
      <c r="F7" s="1072"/>
      <c r="G7" s="1072" t="s">
        <v>217</v>
      </c>
      <c r="H7" s="1072"/>
      <c r="I7" s="1072"/>
      <c r="J7" s="1072"/>
      <c r="K7" s="1072" t="s">
        <v>218</v>
      </c>
      <c r="L7" s="1072"/>
      <c r="M7" s="1072"/>
      <c r="N7" s="1072"/>
      <c r="O7" s="591"/>
    </row>
    <row r="8" spans="1:17" s="464" customFormat="1" ht="23.25" customHeight="1">
      <c r="A8" s="1072"/>
      <c r="B8" s="1072"/>
      <c r="C8" s="1072" t="s">
        <v>331</v>
      </c>
      <c r="D8" s="1073" t="s">
        <v>332</v>
      </c>
      <c r="E8" s="1074"/>
      <c r="F8" s="1072" t="s">
        <v>250</v>
      </c>
      <c r="G8" s="1072" t="s">
        <v>331</v>
      </c>
      <c r="H8" s="1073" t="s">
        <v>332</v>
      </c>
      <c r="I8" s="1074"/>
      <c r="J8" s="1072" t="s">
        <v>250</v>
      </c>
      <c r="K8" s="1072" t="s">
        <v>331</v>
      </c>
      <c r="L8" s="1073" t="s">
        <v>332</v>
      </c>
      <c r="M8" s="1074"/>
      <c r="N8" s="1072" t="s">
        <v>250</v>
      </c>
      <c r="O8" s="591"/>
    </row>
    <row r="9" spans="1:17" s="464" customFormat="1" ht="27" customHeight="1">
      <c r="A9" s="1072"/>
      <c r="B9" s="1072"/>
      <c r="C9" s="1072"/>
      <c r="D9" s="705" t="s">
        <v>333</v>
      </c>
      <c r="E9" s="705" t="s">
        <v>334</v>
      </c>
      <c r="F9" s="1072"/>
      <c r="G9" s="1072"/>
      <c r="H9" s="705" t="s">
        <v>334</v>
      </c>
      <c r="I9" s="705" t="s">
        <v>335</v>
      </c>
      <c r="J9" s="1072"/>
      <c r="K9" s="1072"/>
      <c r="L9" s="1073" t="s">
        <v>336</v>
      </c>
      <c r="M9" s="1074"/>
      <c r="N9" s="1072"/>
      <c r="O9" s="591"/>
    </row>
    <row r="10" spans="1:17" s="464" customFormat="1" ht="15" customHeight="1">
      <c r="A10" s="705">
        <v>1</v>
      </c>
      <c r="B10" s="705" t="s">
        <v>337</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73">
        <v>1867.21</v>
      </c>
      <c r="M10" s="1074"/>
      <c r="N10" s="88"/>
      <c r="O10" s="591"/>
    </row>
    <row r="11" spans="1:17" s="464" customFormat="1" ht="15" customHeight="1">
      <c r="A11" s="705">
        <v>2</v>
      </c>
      <c r="B11" s="705" t="s">
        <v>338</v>
      </c>
      <c r="C11" s="531">
        <f t="shared" si="0"/>
        <v>0</v>
      </c>
      <c r="D11" s="705">
        <v>6.29</v>
      </c>
      <c r="E11" s="705">
        <v>6.29</v>
      </c>
      <c r="F11" s="88"/>
      <c r="G11" s="531">
        <f t="shared" si="1"/>
        <v>0</v>
      </c>
      <c r="H11" s="705">
        <v>6.29</v>
      </c>
      <c r="I11" s="705">
        <v>6.29</v>
      </c>
      <c r="J11" s="88"/>
      <c r="K11" s="531">
        <f t="shared" si="2"/>
        <v>0</v>
      </c>
      <c r="L11" s="1073">
        <v>6.29</v>
      </c>
      <c r="M11" s="1074"/>
      <c r="N11" s="88"/>
      <c r="O11" s="591"/>
    </row>
    <row r="12" spans="1:17" s="464" customFormat="1" ht="25.5">
      <c r="A12" s="705">
        <v>3</v>
      </c>
      <c r="B12" s="705" t="s">
        <v>339</v>
      </c>
      <c r="C12" s="531">
        <f t="shared" si="0"/>
        <v>0</v>
      </c>
      <c r="D12" s="599">
        <v>1802.36</v>
      </c>
      <c r="E12" s="599">
        <v>1802.36</v>
      </c>
      <c r="F12" s="88"/>
      <c r="G12" s="531">
        <f t="shared" si="1"/>
        <v>0</v>
      </c>
      <c r="H12" s="705">
        <v>1802.36</v>
      </c>
      <c r="I12" s="705">
        <v>1867.21</v>
      </c>
      <c r="J12" s="88"/>
      <c r="K12" s="531">
        <f t="shared" si="2"/>
        <v>0</v>
      </c>
      <c r="L12" s="1073">
        <v>1867.21</v>
      </c>
      <c r="M12" s="1074"/>
      <c r="N12" s="88"/>
      <c r="O12" s="591"/>
    </row>
    <row r="13" spans="1:17" s="464" customFormat="1">
      <c r="A13" s="595"/>
      <c r="B13" s="596" t="s">
        <v>257</v>
      </c>
      <c r="C13" s="597" t="s">
        <v>26</v>
      </c>
      <c r="D13" s="597" t="s">
        <v>26</v>
      </c>
      <c r="E13" s="597" t="s">
        <v>26</v>
      </c>
      <c r="F13" s="88">
        <f>SUM(F10:F12)</f>
        <v>0</v>
      </c>
      <c r="G13" s="597" t="s">
        <v>26</v>
      </c>
      <c r="H13" s="597" t="s">
        <v>26</v>
      </c>
      <c r="I13" s="597" t="s">
        <v>26</v>
      </c>
      <c r="J13" s="88">
        <f>SUM(J10:J12)</f>
        <v>0</v>
      </c>
      <c r="K13" s="597" t="s">
        <v>26</v>
      </c>
      <c r="L13" s="597" t="s">
        <v>26</v>
      </c>
      <c r="M13" s="597" t="s">
        <v>26</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238</v>
      </c>
      <c r="B15" s="540"/>
      <c r="C15" s="540"/>
      <c r="D15" s="540"/>
      <c r="E15" s="540"/>
      <c r="F15" s="602"/>
      <c r="G15" s="540"/>
      <c r="H15" s="540"/>
      <c r="I15" s="540"/>
      <c r="J15" s="602"/>
      <c r="K15" s="540"/>
      <c r="L15" s="540"/>
      <c r="M15" s="540"/>
      <c r="N15" s="602"/>
      <c r="O15" s="591"/>
    </row>
    <row r="16" spans="1:17" s="464" customFormat="1">
      <c r="A16" s="374" t="s">
        <v>239</v>
      </c>
      <c r="B16" s="538"/>
      <c r="C16" s="538"/>
      <c r="D16" s="538"/>
      <c r="E16" s="538"/>
      <c r="F16" s="603"/>
      <c r="G16" s="538"/>
      <c r="H16" s="538"/>
      <c r="I16" s="538"/>
      <c r="J16" s="603"/>
      <c r="K16" s="538"/>
      <c r="L16" s="538"/>
      <c r="M16" s="538"/>
      <c r="N16" s="603"/>
      <c r="O16" s="591"/>
    </row>
    <row r="17" spans="1:19" s="464" customFormat="1">
      <c r="A17" s="374" t="s">
        <v>240</v>
      </c>
      <c r="B17" s="538"/>
      <c r="C17" s="538"/>
      <c r="D17" s="538"/>
      <c r="E17" s="538"/>
      <c r="F17" s="603"/>
      <c r="G17" s="538"/>
      <c r="H17" s="538"/>
      <c r="I17" s="538"/>
      <c r="J17" s="603"/>
      <c r="K17" s="538"/>
      <c r="L17" s="538"/>
      <c r="M17" s="538"/>
      <c r="N17" s="603"/>
      <c r="O17" s="591"/>
    </row>
    <row r="18" spans="1:19" s="464" customFormat="1">
      <c r="A18" s="448" t="s">
        <v>340</v>
      </c>
      <c r="B18" s="604"/>
      <c r="C18" s="604"/>
      <c r="D18" s="604"/>
      <c r="E18" s="604"/>
      <c r="F18" s="605"/>
      <c r="G18" s="604"/>
      <c r="H18" s="604"/>
      <c r="I18" s="604"/>
      <c r="J18" s="605"/>
      <c r="K18" s="604"/>
      <c r="L18" s="604"/>
      <c r="M18" s="604"/>
      <c r="N18" s="605"/>
      <c r="O18" s="591"/>
    </row>
    <row r="19" spans="1:19" s="464" customFormat="1">
      <c r="A19" s="1085" t="s">
        <v>179</v>
      </c>
      <c r="B19" s="1085" t="s">
        <v>9</v>
      </c>
      <c r="C19" s="1073" t="s">
        <v>562</v>
      </c>
      <c r="D19" s="1086"/>
      <c r="E19" s="1086"/>
      <c r="F19" s="1074"/>
      <c r="G19" s="1073" t="s">
        <v>563</v>
      </c>
      <c r="H19" s="1086"/>
      <c r="I19" s="1086"/>
      <c r="J19" s="1074"/>
      <c r="K19" s="1073" t="s">
        <v>564</v>
      </c>
      <c r="L19" s="1086"/>
      <c r="M19" s="1086"/>
      <c r="N19" s="1074"/>
      <c r="O19" s="606"/>
    </row>
    <row r="20" spans="1:19" s="464" customFormat="1" ht="21" customHeight="1">
      <c r="A20" s="1072"/>
      <c r="B20" s="1072"/>
      <c r="C20" s="1085" t="s">
        <v>331</v>
      </c>
      <c r="D20" s="1073" t="s">
        <v>332</v>
      </c>
      <c r="E20" s="1074"/>
      <c r="F20" s="1085" t="s">
        <v>250</v>
      </c>
      <c r="G20" s="1085" t="s">
        <v>331</v>
      </c>
      <c r="H20" s="1073" t="s">
        <v>332</v>
      </c>
      <c r="I20" s="1074"/>
      <c r="J20" s="1085" t="s">
        <v>250</v>
      </c>
      <c r="K20" s="1085" t="s">
        <v>331</v>
      </c>
      <c r="L20" s="1073" t="s">
        <v>332</v>
      </c>
      <c r="M20" s="1074"/>
      <c r="N20" s="1085" t="s">
        <v>250</v>
      </c>
      <c r="O20" s="606"/>
    </row>
    <row r="21" spans="1:19" s="464" customFormat="1" ht="25.5">
      <c r="A21" s="1072"/>
      <c r="B21" s="1072"/>
      <c r="C21" s="1072"/>
      <c r="D21" s="705" t="s">
        <v>577</v>
      </c>
      <c r="E21" s="705" t="s">
        <v>578</v>
      </c>
      <c r="F21" s="1072"/>
      <c r="G21" s="1072"/>
      <c r="H21" s="705" t="s">
        <v>579</v>
      </c>
      <c r="I21" s="705" t="s">
        <v>580</v>
      </c>
      <c r="J21" s="1072"/>
      <c r="K21" s="1072"/>
      <c r="L21" s="705" t="s">
        <v>581</v>
      </c>
      <c r="M21" s="705" t="s">
        <v>582</v>
      </c>
      <c r="N21" s="1072"/>
      <c r="O21" s="606"/>
      <c r="Q21" s="478">
        <f>F29</f>
        <v>801570</v>
      </c>
      <c r="R21" s="478">
        <f>J29</f>
        <v>810098.39</v>
      </c>
      <c r="S21" s="478">
        <f>N29</f>
        <v>820430.14</v>
      </c>
    </row>
    <row r="22" spans="1:19" s="464" customFormat="1" ht="15" customHeight="1">
      <c r="A22" s="705">
        <v>1</v>
      </c>
      <c r="B22" s="607" t="s">
        <v>337</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338</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339</v>
      </c>
      <c r="C24" s="531"/>
      <c r="D24" s="599"/>
      <c r="E24" s="599"/>
      <c r="F24" s="88"/>
      <c r="G24" s="531"/>
      <c r="H24" s="705"/>
      <c r="I24" s="705"/>
      <c r="J24" s="88"/>
      <c r="K24" s="531"/>
      <c r="L24" s="705"/>
      <c r="M24" s="705"/>
      <c r="N24" s="88"/>
      <c r="O24" s="591"/>
      <c r="Q24" s="479"/>
    </row>
    <row r="25" spans="1:19" s="464" customFormat="1">
      <c r="A25" s="705">
        <v>3</v>
      </c>
      <c r="B25" s="607" t="s">
        <v>341</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342</v>
      </c>
      <c r="C26" s="531"/>
      <c r="D26" s="599"/>
      <c r="E26" s="599"/>
      <c r="F26" s="88"/>
      <c r="G26" s="531"/>
      <c r="H26" s="599"/>
      <c r="I26" s="599"/>
      <c r="J26" s="88"/>
      <c r="K26" s="531"/>
      <c r="L26" s="599"/>
      <c r="M26" s="599"/>
      <c r="N26" s="88"/>
      <c r="O26" s="606"/>
      <c r="Q26" s="479"/>
    </row>
    <row r="27" spans="1:19" s="464" customFormat="1">
      <c r="A27" s="705">
        <v>4</v>
      </c>
      <c r="B27" s="607" t="s">
        <v>343</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344</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257</v>
      </c>
      <c r="C29" s="597" t="s">
        <v>26</v>
      </c>
      <c r="D29" s="597" t="s">
        <v>26</v>
      </c>
      <c r="E29" s="598" t="s">
        <v>26</v>
      </c>
      <c r="F29" s="284">
        <f>SUM(F22:F28)</f>
        <v>801570</v>
      </c>
      <c r="G29" s="598" t="s">
        <v>26</v>
      </c>
      <c r="H29" s="598" t="s">
        <v>26</v>
      </c>
      <c r="I29" s="597" t="s">
        <v>26</v>
      </c>
      <c r="J29" s="88">
        <f>SUM(J22:J28)</f>
        <v>810098.39</v>
      </c>
      <c r="K29" s="597" t="s">
        <v>26</v>
      </c>
      <c r="L29" s="598" t="s">
        <v>26</v>
      </c>
      <c r="M29" s="597" t="s">
        <v>26</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498</v>
      </c>
    </row>
    <row r="31" spans="1:19" s="463" customFormat="1">
      <c r="A31" s="543" t="s">
        <v>243</v>
      </c>
      <c r="B31" s="544"/>
      <c r="C31" s="544"/>
      <c r="D31" s="544"/>
      <c r="E31" s="544"/>
      <c r="F31" s="544"/>
      <c r="G31" s="544"/>
      <c r="H31" s="544"/>
      <c r="I31" s="544"/>
      <c r="J31" s="544"/>
      <c r="K31" s="544"/>
      <c r="L31" s="544"/>
      <c r="M31" s="544"/>
      <c r="N31" s="544"/>
      <c r="O31" s="591"/>
    </row>
    <row r="32" spans="1:19" s="464" customFormat="1">
      <c r="A32" s="374" t="s">
        <v>244</v>
      </c>
      <c r="B32" s="538"/>
      <c r="C32" s="538"/>
      <c r="D32" s="538"/>
      <c r="E32" s="538"/>
      <c r="F32" s="538"/>
      <c r="G32" s="538"/>
      <c r="H32" s="538"/>
      <c r="I32" s="538"/>
      <c r="J32" s="538"/>
      <c r="K32" s="538"/>
      <c r="L32" s="538"/>
      <c r="M32" s="538"/>
      <c r="N32" s="538"/>
      <c r="O32" s="591"/>
    </row>
    <row r="33" spans="1:19" s="464" customFormat="1">
      <c r="A33" s="374" t="s">
        <v>245</v>
      </c>
      <c r="B33" s="538"/>
      <c r="C33" s="538"/>
      <c r="D33" s="538"/>
      <c r="E33" s="538"/>
      <c r="F33" s="538"/>
      <c r="G33" s="538"/>
      <c r="H33" s="538"/>
      <c r="I33" s="538"/>
      <c r="J33" s="538"/>
      <c r="K33" s="538"/>
      <c r="L33" s="538"/>
      <c r="M33" s="538"/>
      <c r="N33" s="538"/>
      <c r="O33" s="591"/>
    </row>
    <row r="34" spans="1:19" s="464" customFormat="1">
      <c r="A34" s="374" t="s">
        <v>583</v>
      </c>
      <c r="B34" s="538"/>
      <c r="C34" s="538"/>
      <c r="D34" s="538"/>
      <c r="E34" s="538"/>
      <c r="F34" s="538"/>
      <c r="G34" s="538"/>
      <c r="H34" s="538"/>
      <c r="I34" s="538"/>
      <c r="J34" s="538"/>
      <c r="K34" s="538"/>
      <c r="L34" s="538"/>
      <c r="M34" s="538"/>
      <c r="N34" s="538"/>
      <c r="O34" s="591"/>
    </row>
    <row r="35" spans="1:19" s="464" customFormat="1">
      <c r="A35" s="1072" t="s">
        <v>179</v>
      </c>
      <c r="B35" s="1072" t="s">
        <v>9</v>
      </c>
      <c r="C35" s="1072" t="s">
        <v>216</v>
      </c>
      <c r="D35" s="1072"/>
      <c r="E35" s="1072"/>
      <c r="F35" s="1072"/>
      <c r="G35" s="1072" t="s">
        <v>217</v>
      </c>
      <c r="H35" s="1072"/>
      <c r="I35" s="1072"/>
      <c r="J35" s="1072"/>
      <c r="K35" s="1072" t="s">
        <v>218</v>
      </c>
      <c r="L35" s="1072"/>
      <c r="M35" s="1072"/>
      <c r="N35" s="1072"/>
      <c r="O35" s="591"/>
    </row>
    <row r="36" spans="1:19" s="464" customFormat="1" ht="27" customHeight="1">
      <c r="A36" s="1072"/>
      <c r="B36" s="1072"/>
      <c r="C36" s="1072" t="s">
        <v>331</v>
      </c>
      <c r="D36" s="1073" t="s">
        <v>332</v>
      </c>
      <c r="E36" s="1074"/>
      <c r="F36" s="1072" t="s">
        <v>250</v>
      </c>
      <c r="G36" s="1072" t="s">
        <v>331</v>
      </c>
      <c r="H36" s="1073" t="s">
        <v>332</v>
      </c>
      <c r="I36" s="1074"/>
      <c r="J36" s="1072" t="s">
        <v>250</v>
      </c>
      <c r="K36" s="1072" t="s">
        <v>331</v>
      </c>
      <c r="L36" s="1073" t="s">
        <v>332</v>
      </c>
      <c r="M36" s="1074"/>
      <c r="N36" s="1072" t="s">
        <v>250</v>
      </c>
      <c r="O36" s="591"/>
    </row>
    <row r="37" spans="1:19" s="464" customFormat="1" ht="30.75" customHeight="1">
      <c r="A37" s="1072"/>
      <c r="B37" s="1072"/>
      <c r="C37" s="1072"/>
      <c r="D37" s="705" t="s">
        <v>345</v>
      </c>
      <c r="E37" s="705" t="s">
        <v>346</v>
      </c>
      <c r="F37" s="1072"/>
      <c r="G37" s="1072"/>
      <c r="H37" s="705" t="s">
        <v>346</v>
      </c>
      <c r="I37" s="705" t="s">
        <v>347</v>
      </c>
      <c r="J37" s="1072"/>
      <c r="K37" s="1072"/>
      <c r="L37" s="1073" t="s">
        <v>336</v>
      </c>
      <c r="M37" s="1074"/>
      <c r="N37" s="1072"/>
      <c r="O37" s="591"/>
    </row>
    <row r="38" spans="1:19" s="464" customFormat="1" ht="15.75" customHeight="1">
      <c r="A38" s="705">
        <v>1</v>
      </c>
      <c r="B38" s="705" t="s">
        <v>337</v>
      </c>
      <c r="C38" s="531">
        <f t="shared" si="0"/>
        <v>0</v>
      </c>
      <c r="D38" s="705">
        <v>1802.36</v>
      </c>
      <c r="E38" s="705">
        <v>1802.36</v>
      </c>
      <c r="F38" s="88"/>
      <c r="G38" s="531">
        <f t="shared" si="1"/>
        <v>0</v>
      </c>
      <c r="H38" s="705">
        <v>1802.36</v>
      </c>
      <c r="I38" s="705">
        <v>1867.21</v>
      </c>
      <c r="J38" s="88"/>
      <c r="K38" s="531">
        <f t="shared" si="2"/>
        <v>0</v>
      </c>
      <c r="L38" s="1073">
        <v>1867.21</v>
      </c>
      <c r="M38" s="1074"/>
      <c r="N38" s="88"/>
      <c r="O38" s="591"/>
      <c r="P38" s="479"/>
      <c r="Q38" s="479"/>
      <c r="R38" s="479"/>
      <c r="S38" s="479"/>
    </row>
    <row r="39" spans="1:19" s="464" customFormat="1" ht="15.75" customHeight="1">
      <c r="A39" s="705">
        <v>2</v>
      </c>
      <c r="B39" s="705" t="s">
        <v>338</v>
      </c>
      <c r="C39" s="531">
        <f t="shared" si="0"/>
        <v>0</v>
      </c>
      <c r="D39" s="705">
        <v>6.29</v>
      </c>
      <c r="E39" s="705">
        <v>6.29</v>
      </c>
      <c r="F39" s="88"/>
      <c r="G39" s="531">
        <f t="shared" si="1"/>
        <v>0</v>
      </c>
      <c r="H39" s="705">
        <v>6.29</v>
      </c>
      <c r="I39" s="705">
        <v>6.29</v>
      </c>
      <c r="J39" s="88"/>
      <c r="K39" s="531">
        <f t="shared" si="2"/>
        <v>0</v>
      </c>
      <c r="L39" s="1073">
        <v>6.29</v>
      </c>
      <c r="M39" s="1074"/>
      <c r="N39" s="88"/>
      <c r="O39" s="591"/>
    </row>
    <row r="40" spans="1:19" s="464" customFormat="1" ht="25.5">
      <c r="A40" s="705">
        <v>3</v>
      </c>
      <c r="B40" s="705" t="s">
        <v>339</v>
      </c>
      <c r="C40" s="531">
        <f t="shared" si="0"/>
        <v>0</v>
      </c>
      <c r="D40" s="599">
        <v>1802.36</v>
      </c>
      <c r="E40" s="599">
        <v>1802.36</v>
      </c>
      <c r="F40" s="88"/>
      <c r="G40" s="531">
        <f t="shared" si="1"/>
        <v>0</v>
      </c>
      <c r="H40" s="705">
        <v>1802.36</v>
      </c>
      <c r="I40" s="705">
        <v>1867.21</v>
      </c>
      <c r="J40" s="88"/>
      <c r="K40" s="531">
        <f t="shared" si="2"/>
        <v>0</v>
      </c>
      <c r="L40" s="1073">
        <v>1867.21</v>
      </c>
      <c r="M40" s="1074"/>
      <c r="N40" s="88"/>
      <c r="O40" s="591"/>
    </row>
    <row r="41" spans="1:19" s="464" customFormat="1">
      <c r="A41" s="595"/>
      <c r="B41" s="596" t="s">
        <v>257</v>
      </c>
      <c r="C41" s="597" t="s">
        <v>26</v>
      </c>
      <c r="D41" s="597" t="s">
        <v>26</v>
      </c>
      <c r="E41" s="597" t="s">
        <v>26</v>
      </c>
      <c r="F41" s="88">
        <f>ROUND(SUM(F38:F40),2)</f>
        <v>0</v>
      </c>
      <c r="G41" s="597" t="s">
        <v>26</v>
      </c>
      <c r="H41" s="597" t="s">
        <v>26</v>
      </c>
      <c r="I41" s="597" t="s">
        <v>26</v>
      </c>
      <c r="J41" s="88">
        <f>ROUND(SUM(J38:J40),2)</f>
        <v>0</v>
      </c>
      <c r="K41" s="597" t="s">
        <v>26</v>
      </c>
      <c r="L41" s="597" t="s">
        <v>26</v>
      </c>
      <c r="M41" s="597" t="s">
        <v>26</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243</v>
      </c>
      <c r="B43" s="544"/>
      <c r="C43" s="544"/>
      <c r="D43" s="544"/>
      <c r="E43" s="544"/>
      <c r="F43" s="544"/>
      <c r="G43" s="544"/>
      <c r="H43" s="544"/>
      <c r="I43" s="544"/>
      <c r="J43" s="544"/>
      <c r="K43" s="544"/>
      <c r="L43" s="544"/>
      <c r="M43" s="544"/>
      <c r="N43" s="544"/>
      <c r="O43" s="591"/>
      <c r="P43" s="463"/>
      <c r="Q43" s="463"/>
      <c r="R43" s="463"/>
      <c r="S43" s="463"/>
    </row>
    <row r="44" spans="1:19" s="464" customFormat="1">
      <c r="A44" s="374" t="s">
        <v>244</v>
      </c>
      <c r="B44" s="538"/>
      <c r="C44" s="538"/>
      <c r="D44" s="538"/>
      <c r="E44" s="538"/>
      <c r="F44" s="538"/>
      <c r="G44" s="538"/>
      <c r="H44" s="538"/>
      <c r="I44" s="538"/>
      <c r="J44" s="538"/>
      <c r="K44" s="538"/>
      <c r="L44" s="538"/>
      <c r="M44" s="538"/>
      <c r="N44" s="538"/>
      <c r="O44" s="591"/>
    </row>
    <row r="45" spans="1:19" s="464" customFormat="1">
      <c r="A45" s="374" t="s">
        <v>245</v>
      </c>
      <c r="B45" s="538"/>
      <c r="C45" s="538"/>
      <c r="D45" s="538"/>
      <c r="E45" s="538"/>
      <c r="F45" s="538"/>
      <c r="G45" s="538"/>
      <c r="H45" s="538"/>
      <c r="I45" s="538"/>
      <c r="J45" s="538"/>
      <c r="K45" s="538"/>
      <c r="L45" s="538"/>
      <c r="M45" s="538"/>
      <c r="N45" s="538"/>
      <c r="O45" s="591"/>
    </row>
    <row r="46" spans="1:19" s="464" customFormat="1">
      <c r="A46" s="448" t="s">
        <v>340</v>
      </c>
      <c r="B46" s="604"/>
      <c r="C46" s="604"/>
      <c r="D46" s="604"/>
      <c r="E46" s="604"/>
      <c r="F46" s="604"/>
      <c r="G46" s="604"/>
      <c r="H46" s="604"/>
      <c r="I46" s="604"/>
      <c r="J46" s="604"/>
      <c r="K46" s="604"/>
      <c r="L46" s="604"/>
      <c r="M46" s="604"/>
      <c r="N46" s="604"/>
      <c r="O46" s="591"/>
    </row>
    <row r="47" spans="1:19" s="464" customFormat="1" ht="15" customHeight="1">
      <c r="A47" s="1085" t="s">
        <v>179</v>
      </c>
      <c r="B47" s="1085" t="s">
        <v>9</v>
      </c>
      <c r="C47" s="1073" t="s">
        <v>562</v>
      </c>
      <c r="D47" s="1086"/>
      <c r="E47" s="1086"/>
      <c r="F47" s="1074"/>
      <c r="G47" s="1073" t="s">
        <v>563</v>
      </c>
      <c r="H47" s="1086"/>
      <c r="I47" s="1086"/>
      <c r="J47" s="1074"/>
      <c r="K47" s="1073" t="s">
        <v>564</v>
      </c>
      <c r="L47" s="1086"/>
      <c r="M47" s="1086"/>
      <c r="N47" s="1074"/>
      <c r="O47" s="606"/>
    </row>
    <row r="48" spans="1:19" s="464" customFormat="1" ht="23.25" customHeight="1">
      <c r="A48" s="1072"/>
      <c r="B48" s="1072"/>
      <c r="C48" s="1085" t="s">
        <v>331</v>
      </c>
      <c r="D48" s="1073" t="s">
        <v>332</v>
      </c>
      <c r="E48" s="1074"/>
      <c r="F48" s="1085" t="s">
        <v>250</v>
      </c>
      <c r="G48" s="1085" t="s">
        <v>331</v>
      </c>
      <c r="H48" s="1073" t="s">
        <v>332</v>
      </c>
      <c r="I48" s="1074"/>
      <c r="J48" s="1085" t="s">
        <v>250</v>
      </c>
      <c r="K48" s="1085" t="s">
        <v>331</v>
      </c>
      <c r="L48" s="1073" t="s">
        <v>332</v>
      </c>
      <c r="M48" s="1074"/>
      <c r="N48" s="1085" t="s">
        <v>250</v>
      </c>
      <c r="O48" s="606"/>
    </row>
    <row r="49" spans="1:19" s="464" customFormat="1" ht="25.5">
      <c r="A49" s="1072"/>
      <c r="B49" s="1072"/>
      <c r="C49" s="1072"/>
      <c r="D49" s="705" t="s">
        <v>577</v>
      </c>
      <c r="E49" s="705" t="s">
        <v>578</v>
      </c>
      <c r="F49" s="1072"/>
      <c r="G49" s="1072"/>
      <c r="H49" s="705" t="s">
        <v>579</v>
      </c>
      <c r="I49" s="705" t="s">
        <v>580</v>
      </c>
      <c r="J49" s="1072"/>
      <c r="K49" s="1072"/>
      <c r="L49" s="705" t="s">
        <v>581</v>
      </c>
      <c r="M49" s="705" t="s">
        <v>582</v>
      </c>
      <c r="N49" s="1072"/>
      <c r="O49" s="606"/>
    </row>
    <row r="50" spans="1:19" s="464" customFormat="1" ht="15.75" customHeight="1">
      <c r="A50" s="705">
        <v>1</v>
      </c>
      <c r="B50" s="607" t="s">
        <v>337</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338</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339</v>
      </c>
      <c r="C52" s="531"/>
      <c r="D52" s="599"/>
      <c r="E52" s="599"/>
      <c r="F52" s="88">
        <v>0</v>
      </c>
      <c r="G52" s="531"/>
      <c r="H52" s="705"/>
      <c r="I52" s="705"/>
      <c r="J52" s="88">
        <v>0</v>
      </c>
      <c r="K52" s="531"/>
      <c r="L52" s="705"/>
      <c r="M52" s="705"/>
      <c r="N52" s="88">
        <v>0</v>
      </c>
      <c r="O52" s="591"/>
    </row>
    <row r="53" spans="1:19" s="464" customFormat="1">
      <c r="A53" s="705">
        <v>3</v>
      </c>
      <c r="B53" s="607" t="s">
        <v>341</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342</v>
      </c>
      <c r="C54" s="531"/>
      <c r="D54" s="599"/>
      <c r="E54" s="599"/>
      <c r="F54" s="88"/>
      <c r="G54" s="531"/>
      <c r="H54" s="599"/>
      <c r="I54" s="599"/>
      <c r="J54" s="88"/>
      <c r="K54" s="531"/>
      <c r="L54" s="599"/>
      <c r="M54" s="599"/>
      <c r="N54" s="88"/>
      <c r="O54" s="606"/>
    </row>
    <row r="55" spans="1:19" s="464" customFormat="1">
      <c r="A55" s="705">
        <v>4</v>
      </c>
      <c r="B55" s="607" t="s">
        <v>343</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344</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257</v>
      </c>
      <c r="C57" s="597" t="s">
        <v>26</v>
      </c>
      <c r="D57" s="597" t="s">
        <v>26</v>
      </c>
      <c r="E57" s="597" t="s">
        <v>26</v>
      </c>
      <c r="F57" s="88">
        <f>ROUND(SUM(F50:F56),2)</f>
        <v>118694</v>
      </c>
      <c r="G57" s="597" t="s">
        <v>26</v>
      </c>
      <c r="H57" s="597" t="s">
        <v>26</v>
      </c>
      <c r="I57" s="597" t="s">
        <v>26</v>
      </c>
      <c r="J57" s="88">
        <f>ROUND(SUM(J50:J56),2)</f>
        <v>121307.54</v>
      </c>
      <c r="K57" s="597" t="s">
        <v>26</v>
      </c>
      <c r="L57" s="598" t="s">
        <v>26</v>
      </c>
      <c r="M57" s="597" t="s">
        <v>26</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243</v>
      </c>
      <c r="B60" s="611"/>
      <c r="C60" s="611"/>
      <c r="D60" s="611"/>
      <c r="E60" s="611"/>
      <c r="F60" s="611"/>
      <c r="G60" s="611"/>
      <c r="H60" s="611"/>
      <c r="I60" s="611"/>
      <c r="J60" s="611"/>
      <c r="K60" s="611"/>
      <c r="L60" s="611"/>
      <c r="M60" s="538"/>
      <c r="N60" s="538"/>
      <c r="O60" s="591"/>
    </row>
    <row r="61" spans="1:19">
      <c r="A61" s="374" t="s">
        <v>244</v>
      </c>
      <c r="B61" s="374"/>
      <c r="C61" s="374"/>
      <c r="D61" s="374"/>
      <c r="E61" s="374"/>
      <c r="F61" s="374"/>
      <c r="G61" s="374"/>
      <c r="H61" s="374"/>
      <c r="I61" s="374"/>
      <c r="J61" s="374"/>
      <c r="K61" s="374"/>
      <c r="L61" s="374"/>
      <c r="M61" s="538"/>
      <c r="N61" s="538"/>
      <c r="O61" s="538"/>
    </row>
    <row r="62" spans="1:19">
      <c r="A62" s="374" t="s">
        <v>245</v>
      </c>
      <c r="B62" s="374"/>
      <c r="C62" s="374"/>
      <c r="D62" s="374"/>
      <c r="E62" s="374"/>
      <c r="F62" s="374"/>
      <c r="G62" s="374"/>
      <c r="H62" s="374"/>
      <c r="I62" s="374"/>
      <c r="J62" s="374"/>
      <c r="K62" s="374"/>
      <c r="L62" s="374"/>
      <c r="M62" s="538"/>
      <c r="N62" s="538"/>
      <c r="O62" s="538"/>
    </row>
    <row r="63" spans="1:19">
      <c r="A63" s="583" t="s">
        <v>465</v>
      </c>
      <c r="B63" s="374"/>
      <c r="C63" s="374"/>
      <c r="D63" s="374"/>
      <c r="E63" s="374"/>
      <c r="F63" s="374"/>
      <c r="G63" s="374"/>
      <c r="H63" s="374"/>
      <c r="I63" s="374"/>
      <c r="J63" s="374"/>
      <c r="K63" s="374"/>
      <c r="L63" s="374"/>
      <c r="M63" s="538"/>
      <c r="N63" s="538"/>
      <c r="O63" s="538"/>
    </row>
    <row r="64" spans="1:19" ht="35.25" customHeight="1">
      <c r="A64" s="1072" t="s">
        <v>179</v>
      </c>
      <c r="B64" s="1072" t="s">
        <v>247</v>
      </c>
      <c r="C64" s="1072" t="s">
        <v>443</v>
      </c>
      <c r="D64" s="1072" t="s">
        <v>216</v>
      </c>
      <c r="E64" s="1072"/>
      <c r="F64" s="1072"/>
      <c r="G64" s="1072" t="s">
        <v>217</v>
      </c>
      <c r="H64" s="1072"/>
      <c r="I64" s="1072"/>
      <c r="J64" s="1072" t="s">
        <v>218</v>
      </c>
      <c r="K64" s="1072"/>
      <c r="L64" s="1072"/>
      <c r="M64" s="538"/>
      <c r="N64" s="538"/>
      <c r="O64" s="538"/>
    </row>
    <row r="65" spans="1:15">
      <c r="A65" s="1072"/>
      <c r="B65" s="1072"/>
      <c r="C65" s="1072"/>
      <c r="D65" s="1072" t="s">
        <v>422</v>
      </c>
      <c r="E65" s="1072" t="s">
        <v>310</v>
      </c>
      <c r="F65" s="1072" t="s">
        <v>250</v>
      </c>
      <c r="G65" s="1072" t="s">
        <v>422</v>
      </c>
      <c r="H65" s="705" t="s">
        <v>369</v>
      </c>
      <c r="I65" s="1072" t="s">
        <v>250</v>
      </c>
      <c r="J65" s="1072" t="s">
        <v>422</v>
      </c>
      <c r="K65" s="705" t="s">
        <v>369</v>
      </c>
      <c r="L65" s="1072" t="s">
        <v>250</v>
      </c>
      <c r="M65" s="538"/>
      <c r="N65" s="538"/>
      <c r="O65" s="538"/>
    </row>
    <row r="66" spans="1:15">
      <c r="A66" s="1072"/>
      <c r="B66" s="1072"/>
      <c r="C66" s="1072"/>
      <c r="D66" s="1072"/>
      <c r="E66" s="1072"/>
      <c r="F66" s="1072"/>
      <c r="G66" s="1072"/>
      <c r="H66" s="705" t="s">
        <v>437</v>
      </c>
      <c r="I66" s="1072"/>
      <c r="J66" s="1072"/>
      <c r="K66" s="705" t="s">
        <v>437</v>
      </c>
      <c r="L66" s="1072"/>
      <c r="M66" s="538"/>
      <c r="N66" s="538"/>
      <c r="O66" s="538"/>
    </row>
    <row r="67" spans="1:15" ht="25.5">
      <c r="A67" s="705">
        <v>1</v>
      </c>
      <c r="B67" s="607" t="s">
        <v>663</v>
      </c>
      <c r="C67" s="612" t="s">
        <v>468</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257</v>
      </c>
      <c r="C68" s="615"/>
      <c r="D68" s="617">
        <f>SUM(D66:D67)</f>
        <v>30</v>
      </c>
      <c r="E68" s="612" t="s">
        <v>26</v>
      </c>
      <c r="F68" s="613">
        <f>SUM(F65:F67)</f>
        <v>294000</v>
      </c>
      <c r="G68" s="612" t="s">
        <v>26</v>
      </c>
      <c r="H68" s="612" t="s">
        <v>26</v>
      </c>
      <c r="I68" s="612" t="s">
        <v>26</v>
      </c>
      <c r="J68" s="612" t="s">
        <v>26</v>
      </c>
      <c r="K68" s="612" t="s">
        <v>26</v>
      </c>
      <c r="L68" s="612" t="s">
        <v>26</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35:A37"/>
    <mergeCell ref="B35:B37"/>
    <mergeCell ref="C35:F35"/>
    <mergeCell ref="G35:J35"/>
    <mergeCell ref="K35:N35"/>
    <mergeCell ref="C36:C37"/>
    <mergeCell ref="D36:E36"/>
    <mergeCell ref="F36:F37"/>
    <mergeCell ref="G36:G37"/>
    <mergeCell ref="H36:I36"/>
    <mergeCell ref="J20:J21"/>
    <mergeCell ref="N36:N37"/>
    <mergeCell ref="L37:M37"/>
    <mergeCell ref="L38:M38"/>
    <mergeCell ref="L39:M39"/>
    <mergeCell ref="J36:J37"/>
    <mergeCell ref="K36:K37"/>
    <mergeCell ref="L36:M36"/>
    <mergeCell ref="L40:M40"/>
    <mergeCell ref="A47:A49"/>
    <mergeCell ref="B47:B49"/>
    <mergeCell ref="C47:F47"/>
    <mergeCell ref="G47:J47"/>
    <mergeCell ref="K47:N47"/>
    <mergeCell ref="N48:N49"/>
    <mergeCell ref="A64:A66"/>
    <mergeCell ref="B64:B66"/>
    <mergeCell ref="C64:C66"/>
    <mergeCell ref="D64:F64"/>
    <mergeCell ref="G64:I64"/>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449</v>
      </c>
      <c r="O1" s="791"/>
    </row>
    <row r="3" spans="2:15">
      <c r="B3" s="792" t="s">
        <v>243</v>
      </c>
      <c r="C3" s="792"/>
      <c r="D3" s="792"/>
      <c r="E3" s="792"/>
      <c r="F3" s="792"/>
      <c r="G3" s="792"/>
      <c r="H3" s="792"/>
      <c r="I3" s="792"/>
      <c r="J3" s="792"/>
      <c r="K3" s="792"/>
      <c r="L3" s="792"/>
      <c r="M3" s="792"/>
    </row>
    <row r="4" spans="2:15">
      <c r="B4" s="374" t="s">
        <v>244</v>
      </c>
    </row>
    <row r="5" spans="2:15">
      <c r="B5" s="374" t="s">
        <v>865</v>
      </c>
    </row>
    <row r="6" spans="2:15">
      <c r="B6" s="374" t="s">
        <v>678</v>
      </c>
    </row>
    <row r="7" spans="2:15">
      <c r="B7" s="583" t="s">
        <v>465</v>
      </c>
    </row>
    <row r="8" spans="2:15">
      <c r="B8" s="1072" t="s">
        <v>179</v>
      </c>
      <c r="C8" s="1072" t="s">
        <v>247</v>
      </c>
      <c r="D8" s="1072" t="s">
        <v>443</v>
      </c>
      <c r="E8" s="1072" t="s">
        <v>562</v>
      </c>
      <c r="F8" s="1072"/>
      <c r="G8" s="1072"/>
      <c r="H8" s="1072" t="s">
        <v>563</v>
      </c>
      <c r="I8" s="1072"/>
      <c r="J8" s="1072"/>
      <c r="K8" s="1072" t="s">
        <v>564</v>
      </c>
      <c r="L8" s="1072"/>
      <c r="M8" s="1072"/>
      <c r="N8" s="792"/>
    </row>
    <row r="9" spans="2:15">
      <c r="B9" s="1072"/>
      <c r="C9" s="1072"/>
      <c r="D9" s="1072"/>
      <c r="E9" s="1072" t="s">
        <v>422</v>
      </c>
      <c r="F9" s="1072" t="s">
        <v>310</v>
      </c>
      <c r="G9" s="1072" t="s">
        <v>250</v>
      </c>
      <c r="H9" s="1072" t="s">
        <v>422</v>
      </c>
      <c r="I9" s="730" t="s">
        <v>369</v>
      </c>
      <c r="J9" s="1072" t="s">
        <v>250</v>
      </c>
      <c r="K9" s="1072" t="s">
        <v>422</v>
      </c>
      <c r="L9" s="730" t="s">
        <v>369</v>
      </c>
      <c r="M9" s="1072" t="s">
        <v>250</v>
      </c>
      <c r="N9" s="792"/>
    </row>
    <row r="10" spans="2:15">
      <c r="B10" s="1072"/>
      <c r="C10" s="1072"/>
      <c r="D10" s="1072"/>
      <c r="E10" s="1072"/>
      <c r="F10" s="1072"/>
      <c r="G10" s="1072"/>
      <c r="H10" s="1072"/>
      <c r="I10" s="730" t="s">
        <v>437</v>
      </c>
      <c r="J10" s="1072"/>
      <c r="K10" s="1072"/>
      <c r="L10" s="730" t="s">
        <v>437</v>
      </c>
      <c r="M10" s="1072"/>
      <c r="N10" s="792"/>
    </row>
    <row r="11" spans="2:15" ht="25.5">
      <c r="B11" s="730">
        <v>1</v>
      </c>
      <c r="C11" s="607" t="s">
        <v>663</v>
      </c>
      <c r="D11" s="612" t="s">
        <v>468</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664</v>
      </c>
      <c r="D12" s="612" t="s">
        <v>468</v>
      </c>
      <c r="E12" s="612">
        <v>1</v>
      </c>
      <c r="F12" s="613">
        <f t="shared" si="0"/>
        <v>5219</v>
      </c>
      <c r="G12" s="613">
        <v>5219</v>
      </c>
      <c r="H12" s="614">
        <v>0</v>
      </c>
      <c r="I12" s="614">
        <v>0</v>
      </c>
      <c r="J12" s="614">
        <v>0</v>
      </c>
      <c r="K12" s="614">
        <v>0</v>
      </c>
      <c r="L12" s="614">
        <v>0</v>
      </c>
      <c r="M12" s="614">
        <v>0</v>
      </c>
      <c r="N12" s="792"/>
    </row>
    <row r="13" spans="2:15" ht="25.5">
      <c r="B13" s="730">
        <v>3</v>
      </c>
      <c r="C13" s="607" t="s">
        <v>665</v>
      </c>
      <c r="D13" s="612" t="s">
        <v>468</v>
      </c>
      <c r="E13" s="612">
        <v>1</v>
      </c>
      <c r="F13" s="613">
        <f t="shared" si="0"/>
        <v>24650</v>
      </c>
      <c r="G13" s="613">
        <v>24650</v>
      </c>
      <c r="H13" s="614">
        <v>0</v>
      </c>
      <c r="I13" s="614">
        <v>0</v>
      </c>
      <c r="J13" s="614">
        <v>0</v>
      </c>
      <c r="K13" s="614">
        <v>0</v>
      </c>
      <c r="L13" s="614">
        <v>0</v>
      </c>
      <c r="M13" s="614">
        <v>0</v>
      </c>
      <c r="N13" s="792"/>
    </row>
    <row r="14" spans="2:15">
      <c r="B14" s="730">
        <v>4</v>
      </c>
      <c r="C14" s="607" t="s">
        <v>666</v>
      </c>
      <c r="D14" s="612" t="s">
        <v>468</v>
      </c>
      <c r="E14" s="612">
        <v>15</v>
      </c>
      <c r="F14" s="613">
        <f t="shared" si="0"/>
        <v>2861.93</v>
      </c>
      <c r="G14" s="613">
        <v>42928.95</v>
      </c>
      <c r="H14" s="614">
        <v>0</v>
      </c>
      <c r="I14" s="614">
        <v>0</v>
      </c>
      <c r="J14" s="614">
        <v>0</v>
      </c>
      <c r="K14" s="614">
        <v>0</v>
      </c>
      <c r="L14" s="614">
        <v>0</v>
      </c>
      <c r="M14" s="614">
        <v>0</v>
      </c>
      <c r="N14" s="792"/>
    </row>
    <row r="15" spans="2:15" ht="25.5">
      <c r="B15" s="730">
        <v>5</v>
      </c>
      <c r="C15" s="607" t="s">
        <v>667</v>
      </c>
      <c r="D15" s="612" t="s">
        <v>468</v>
      </c>
      <c r="E15" s="612">
        <v>1</v>
      </c>
      <c r="F15" s="613">
        <f t="shared" si="0"/>
        <v>98500</v>
      </c>
      <c r="G15" s="613">
        <v>98500</v>
      </c>
      <c r="H15" s="614">
        <v>0</v>
      </c>
      <c r="I15" s="614">
        <v>0</v>
      </c>
      <c r="J15" s="614">
        <v>0</v>
      </c>
      <c r="K15" s="614">
        <v>0</v>
      </c>
      <c r="L15" s="614">
        <v>0</v>
      </c>
      <c r="M15" s="614">
        <v>0</v>
      </c>
      <c r="N15" s="792"/>
    </row>
    <row r="16" spans="2:15" ht="25.5">
      <c r="B16" s="730">
        <v>6</v>
      </c>
      <c r="C16" s="607" t="s">
        <v>668</v>
      </c>
      <c r="D16" s="612" t="s">
        <v>468</v>
      </c>
      <c r="E16" s="612" t="s">
        <v>26</v>
      </c>
      <c r="F16" s="613" t="s">
        <v>26</v>
      </c>
      <c r="G16" s="613">
        <f>SUM(G17:G20)</f>
        <v>563600</v>
      </c>
      <c r="H16" s="614">
        <v>0</v>
      </c>
      <c r="I16" s="614">
        <v>0</v>
      </c>
      <c r="J16" s="614">
        <v>0</v>
      </c>
      <c r="K16" s="614">
        <v>0</v>
      </c>
      <c r="L16" s="614">
        <v>0</v>
      </c>
      <c r="M16" s="614">
        <v>0</v>
      </c>
      <c r="N16" s="792"/>
    </row>
    <row r="17" spans="2:14" ht="38.25">
      <c r="B17" s="746" t="s">
        <v>673</v>
      </c>
      <c r="C17" s="621" t="s">
        <v>669</v>
      </c>
      <c r="D17" s="747" t="s">
        <v>468</v>
      </c>
      <c r="E17" s="747">
        <v>1</v>
      </c>
      <c r="F17" s="748">
        <f t="shared" ref="F17:F20" si="1">G17/E17</f>
        <v>105000</v>
      </c>
      <c r="G17" s="748">
        <v>105000</v>
      </c>
      <c r="H17" s="614">
        <v>0</v>
      </c>
      <c r="I17" s="614">
        <v>0</v>
      </c>
      <c r="J17" s="614">
        <v>0</v>
      </c>
      <c r="K17" s="614">
        <v>0</v>
      </c>
      <c r="L17" s="614">
        <v>0</v>
      </c>
      <c r="M17" s="614">
        <v>0</v>
      </c>
      <c r="N17" s="792"/>
    </row>
    <row r="18" spans="2:14" ht="38.25">
      <c r="B18" s="621" t="s">
        <v>674</v>
      </c>
      <c r="C18" s="621" t="s">
        <v>670</v>
      </c>
      <c r="D18" s="747" t="s">
        <v>468</v>
      </c>
      <c r="E18" s="747">
        <v>1</v>
      </c>
      <c r="F18" s="748">
        <f t="shared" si="1"/>
        <v>113000</v>
      </c>
      <c r="G18" s="748">
        <v>113000</v>
      </c>
      <c r="H18" s="614">
        <v>0</v>
      </c>
      <c r="I18" s="614">
        <v>0</v>
      </c>
      <c r="J18" s="614">
        <v>0</v>
      </c>
      <c r="K18" s="614">
        <v>0</v>
      </c>
      <c r="L18" s="614">
        <v>0</v>
      </c>
      <c r="M18" s="614">
        <v>0</v>
      </c>
      <c r="N18" s="792"/>
    </row>
    <row r="19" spans="2:14" ht="38.25">
      <c r="B19" s="621" t="s">
        <v>675</v>
      </c>
      <c r="C19" s="621" t="s">
        <v>671</v>
      </c>
      <c r="D19" s="747" t="s">
        <v>468</v>
      </c>
      <c r="E19" s="747">
        <v>2</v>
      </c>
      <c r="F19" s="748">
        <f t="shared" si="1"/>
        <v>118000</v>
      </c>
      <c r="G19" s="748">
        <v>236000</v>
      </c>
      <c r="H19" s="614">
        <v>0</v>
      </c>
      <c r="I19" s="614">
        <v>0</v>
      </c>
      <c r="J19" s="614">
        <v>0</v>
      </c>
      <c r="K19" s="614">
        <v>0</v>
      </c>
      <c r="L19" s="614">
        <v>0</v>
      </c>
      <c r="M19" s="614">
        <v>0</v>
      </c>
      <c r="N19" s="792"/>
    </row>
    <row r="20" spans="2:14" ht="38.25">
      <c r="B20" s="621" t="s">
        <v>676</v>
      </c>
      <c r="C20" s="621" t="s">
        <v>672</v>
      </c>
      <c r="D20" s="747" t="s">
        <v>468</v>
      </c>
      <c r="E20" s="747">
        <v>1</v>
      </c>
      <c r="F20" s="748">
        <f t="shared" si="1"/>
        <v>109600</v>
      </c>
      <c r="G20" s="748">
        <v>109600</v>
      </c>
      <c r="H20" s="614">
        <v>0</v>
      </c>
      <c r="I20" s="614">
        <v>0</v>
      </c>
      <c r="J20" s="614">
        <v>0</v>
      </c>
      <c r="K20" s="614">
        <v>0</v>
      </c>
      <c r="L20" s="614">
        <v>0</v>
      </c>
      <c r="M20" s="614">
        <v>0</v>
      </c>
      <c r="N20" s="792"/>
    </row>
    <row r="21" spans="2:14">
      <c r="B21" s="740" t="s">
        <v>26</v>
      </c>
      <c r="C21" s="739" t="s">
        <v>257</v>
      </c>
      <c r="D21" s="740" t="s">
        <v>26</v>
      </c>
      <c r="E21" s="749">
        <f>SUM(E10:E11)</f>
        <v>10</v>
      </c>
      <c r="F21" s="740" t="s">
        <v>26</v>
      </c>
      <c r="G21" s="750">
        <f>G11+G12+G13+G14+G15+G16</f>
        <v>813930</v>
      </c>
      <c r="H21" s="740" t="s">
        <v>26</v>
      </c>
      <c r="I21" s="740" t="s">
        <v>26</v>
      </c>
      <c r="J21" s="751">
        <f>J11+J12+J13+J14+J15+J16</f>
        <v>200000</v>
      </c>
      <c r="K21" s="740" t="s">
        <v>26</v>
      </c>
      <c r="L21" s="740" t="s">
        <v>26</v>
      </c>
      <c r="M21" s="751">
        <f>M11+M12+M13+M14+M15+M16</f>
        <v>200000</v>
      </c>
      <c r="N21" s="792"/>
    </row>
    <row r="24" spans="2:14">
      <c r="B24" s="788" t="s">
        <v>246</v>
      </c>
      <c r="C24" s="788"/>
      <c r="D24" s="788"/>
      <c r="E24" s="788"/>
      <c r="F24" s="788"/>
      <c r="G24" s="788"/>
      <c r="H24" s="788"/>
      <c r="I24" s="788"/>
      <c r="J24" s="788"/>
      <c r="K24" s="788"/>
      <c r="L24" s="788"/>
      <c r="M24" s="788"/>
      <c r="N24" s="788"/>
    </row>
    <row r="25" spans="2:14">
      <c r="B25" s="374" t="s">
        <v>242</v>
      </c>
      <c r="N25" s="788"/>
    </row>
    <row r="26" spans="2:14">
      <c r="B26" s="374" t="s">
        <v>884</v>
      </c>
      <c r="N26" s="788"/>
    </row>
    <row r="27" spans="2:14">
      <c r="B27" s="374" t="s">
        <v>678</v>
      </c>
      <c r="N27" s="788"/>
    </row>
    <row r="28" spans="2:14">
      <c r="B28" s="583" t="s">
        <v>531</v>
      </c>
      <c r="N28" s="788"/>
    </row>
    <row r="29" spans="2:14">
      <c r="B29" s="1072" t="s">
        <v>179</v>
      </c>
      <c r="C29" s="1072" t="s">
        <v>247</v>
      </c>
      <c r="D29" s="1072" t="s">
        <v>443</v>
      </c>
      <c r="E29" s="1072" t="s">
        <v>562</v>
      </c>
      <c r="F29" s="1072"/>
      <c r="G29" s="1072"/>
      <c r="H29" s="1072" t="s">
        <v>563</v>
      </c>
      <c r="I29" s="1072"/>
      <c r="J29" s="1072"/>
      <c r="K29" s="1072" t="s">
        <v>564</v>
      </c>
      <c r="L29" s="1072"/>
      <c r="M29" s="1072"/>
      <c r="N29" s="788"/>
    </row>
    <row r="30" spans="2:14">
      <c r="B30" s="1072"/>
      <c r="C30" s="1072"/>
      <c r="D30" s="1072"/>
      <c r="E30" s="1072" t="s">
        <v>422</v>
      </c>
      <c r="F30" s="1072" t="s">
        <v>310</v>
      </c>
      <c r="G30" s="1072" t="s">
        <v>250</v>
      </c>
      <c r="H30" s="1072" t="s">
        <v>422</v>
      </c>
      <c r="I30" s="730" t="s">
        <v>369</v>
      </c>
      <c r="J30" s="1072" t="s">
        <v>250</v>
      </c>
      <c r="K30" s="1072" t="s">
        <v>422</v>
      </c>
      <c r="L30" s="730" t="s">
        <v>369</v>
      </c>
      <c r="M30" s="1072" t="s">
        <v>250</v>
      </c>
      <c r="N30" s="788"/>
    </row>
    <row r="31" spans="2:14">
      <c r="B31" s="1072"/>
      <c r="C31" s="1072"/>
      <c r="D31" s="1072"/>
      <c r="E31" s="1072"/>
      <c r="F31" s="1072"/>
      <c r="G31" s="1072"/>
      <c r="H31" s="1072"/>
      <c r="I31" s="730" t="s">
        <v>437</v>
      </c>
      <c r="J31" s="1072"/>
      <c r="K31" s="1072"/>
      <c r="L31" s="730" t="s">
        <v>437</v>
      </c>
      <c r="M31" s="1072"/>
      <c r="N31" s="788"/>
    </row>
    <row r="32" spans="2:14">
      <c r="B32" s="730">
        <v>1</v>
      </c>
      <c r="C32" s="607" t="s">
        <v>885</v>
      </c>
      <c r="D32" s="612" t="s">
        <v>468</v>
      </c>
      <c r="E32" s="612">
        <v>3</v>
      </c>
      <c r="F32" s="613">
        <v>2990</v>
      </c>
      <c r="G32" s="613">
        <f>E32*F32</f>
        <v>8970</v>
      </c>
      <c r="H32" s="614">
        <v>0</v>
      </c>
      <c r="I32" s="614">
        <v>0</v>
      </c>
      <c r="J32" s="614">
        <v>0</v>
      </c>
      <c r="K32" s="614">
        <v>0</v>
      </c>
      <c r="L32" s="614">
        <v>0</v>
      </c>
      <c r="M32" s="614">
        <v>0</v>
      </c>
      <c r="N32" s="788"/>
    </row>
    <row r="33" spans="2:14">
      <c r="B33" s="730">
        <v>2</v>
      </c>
      <c r="C33" s="607" t="s">
        <v>886</v>
      </c>
      <c r="D33" s="612" t="s">
        <v>468</v>
      </c>
      <c r="E33" s="612">
        <v>3</v>
      </c>
      <c r="F33" s="613">
        <v>11990</v>
      </c>
      <c r="G33" s="613">
        <f t="shared" ref="G33:G36" si="2">E33*F33</f>
        <v>35970</v>
      </c>
      <c r="H33" s="614">
        <v>0</v>
      </c>
      <c r="I33" s="614">
        <v>0</v>
      </c>
      <c r="J33" s="614">
        <v>0</v>
      </c>
      <c r="K33" s="614">
        <v>0</v>
      </c>
      <c r="L33" s="614">
        <v>0</v>
      </c>
      <c r="M33" s="614">
        <v>0</v>
      </c>
      <c r="N33" s="788"/>
    </row>
    <row r="34" spans="2:14">
      <c r="B34" s="730">
        <v>3</v>
      </c>
      <c r="C34" s="607" t="s">
        <v>887</v>
      </c>
      <c r="D34" s="612" t="s">
        <v>468</v>
      </c>
      <c r="E34" s="612">
        <v>1</v>
      </c>
      <c r="F34" s="613">
        <v>23338</v>
      </c>
      <c r="G34" s="613">
        <f t="shared" si="2"/>
        <v>23338</v>
      </c>
      <c r="H34" s="614">
        <v>0</v>
      </c>
      <c r="I34" s="614">
        <v>0</v>
      </c>
      <c r="J34" s="614">
        <v>0</v>
      </c>
      <c r="K34" s="614">
        <v>0</v>
      </c>
      <c r="L34" s="614">
        <v>0</v>
      </c>
      <c r="M34" s="614">
        <v>0</v>
      </c>
      <c r="N34" s="788"/>
    </row>
    <row r="35" spans="2:14">
      <c r="B35" s="730">
        <v>4</v>
      </c>
      <c r="C35" s="607" t="s">
        <v>888</v>
      </c>
      <c r="D35" s="612" t="s">
        <v>468</v>
      </c>
      <c r="E35" s="612">
        <v>3</v>
      </c>
      <c r="F35" s="613">
        <v>44990</v>
      </c>
      <c r="G35" s="613">
        <f t="shared" si="2"/>
        <v>134970</v>
      </c>
      <c r="H35" s="614">
        <v>0</v>
      </c>
      <c r="I35" s="614">
        <v>0</v>
      </c>
      <c r="J35" s="614">
        <v>0</v>
      </c>
      <c r="K35" s="614">
        <v>0</v>
      </c>
      <c r="L35" s="614">
        <v>0</v>
      </c>
      <c r="M35" s="614">
        <v>0</v>
      </c>
      <c r="N35" s="788"/>
    </row>
    <row r="36" spans="2:14">
      <c r="B36" s="730">
        <v>5</v>
      </c>
      <c r="C36" s="607" t="s">
        <v>889</v>
      </c>
      <c r="D36" s="612" t="s">
        <v>468</v>
      </c>
      <c r="E36" s="612">
        <v>8</v>
      </c>
      <c r="F36" s="613">
        <v>5487.75</v>
      </c>
      <c r="G36" s="613">
        <f t="shared" si="2"/>
        <v>43902</v>
      </c>
      <c r="H36" s="614">
        <v>0</v>
      </c>
      <c r="I36" s="614">
        <v>0</v>
      </c>
      <c r="J36" s="614">
        <v>0</v>
      </c>
      <c r="K36" s="614">
        <v>0</v>
      </c>
      <c r="L36" s="614">
        <v>0</v>
      </c>
      <c r="M36" s="614">
        <v>0</v>
      </c>
      <c r="N36" s="788"/>
    </row>
    <row r="37" spans="2:14">
      <c r="B37" s="740" t="s">
        <v>26</v>
      </c>
      <c r="C37" s="739" t="s">
        <v>257</v>
      </c>
      <c r="D37" s="740" t="s">
        <v>26</v>
      </c>
      <c r="E37" s="749">
        <f>SUM(E31:E32)</f>
        <v>3</v>
      </c>
      <c r="F37" s="740" t="s">
        <v>26</v>
      </c>
      <c r="G37" s="750">
        <f>SUM(G32:G36)</f>
        <v>247150</v>
      </c>
      <c r="H37" s="740" t="s">
        <v>26</v>
      </c>
      <c r="I37" s="740" t="s">
        <v>26</v>
      </c>
      <c r="J37" s="751">
        <v>0</v>
      </c>
      <c r="K37" s="740" t="s">
        <v>26</v>
      </c>
      <c r="L37" s="740" t="s">
        <v>26</v>
      </c>
      <c r="M37" s="751">
        <v>0</v>
      </c>
      <c r="N37" s="788"/>
    </row>
    <row r="40" spans="2:14">
      <c r="B40" s="539" t="s">
        <v>654</v>
      </c>
      <c r="C40" s="539"/>
      <c r="D40" s="539"/>
      <c r="E40" s="539"/>
      <c r="F40" s="539"/>
      <c r="G40" s="539"/>
      <c r="H40" s="539"/>
      <c r="I40" s="539"/>
      <c r="J40" s="539"/>
      <c r="K40" s="539"/>
      <c r="L40" s="539"/>
      <c r="M40" s="539"/>
      <c r="N40" s="792"/>
    </row>
    <row r="41" spans="2:14">
      <c r="B41" s="374" t="s">
        <v>244</v>
      </c>
      <c r="N41" s="792"/>
    </row>
    <row r="42" spans="2:14">
      <c r="B42" s="374" t="s">
        <v>865</v>
      </c>
      <c r="N42" s="792"/>
    </row>
    <row r="43" spans="2:14">
      <c r="B43" s="583" t="s">
        <v>925</v>
      </c>
      <c r="N43" s="792"/>
    </row>
    <row r="44" spans="2:14" ht="15" customHeight="1">
      <c r="B44" s="1072" t="s">
        <v>179</v>
      </c>
      <c r="C44" s="1072" t="s">
        <v>247</v>
      </c>
      <c r="D44" s="1072" t="s">
        <v>443</v>
      </c>
      <c r="E44" s="1073" t="s">
        <v>562</v>
      </c>
      <c r="F44" s="1086"/>
      <c r="G44" s="1074"/>
      <c r="H44" s="1073" t="s">
        <v>563</v>
      </c>
      <c r="I44" s="1086"/>
      <c r="J44" s="1074"/>
      <c r="K44" s="1073" t="s">
        <v>564</v>
      </c>
      <c r="L44" s="1086"/>
      <c r="M44" s="1074"/>
      <c r="N44" s="792"/>
    </row>
    <row r="45" spans="2:14" ht="15" customHeight="1">
      <c r="B45" s="1072"/>
      <c r="C45" s="1072"/>
      <c r="D45" s="1072"/>
      <c r="E45" s="1072" t="s">
        <v>422</v>
      </c>
      <c r="F45" s="1072" t="s">
        <v>310</v>
      </c>
      <c r="G45" s="1072" t="s">
        <v>250</v>
      </c>
      <c r="H45" s="1072" t="s">
        <v>422</v>
      </c>
      <c r="I45" s="730" t="s">
        <v>369</v>
      </c>
      <c r="J45" s="1072" t="s">
        <v>250</v>
      </c>
      <c r="K45" s="1072" t="s">
        <v>422</v>
      </c>
      <c r="L45" s="730" t="s">
        <v>369</v>
      </c>
      <c r="M45" s="1072" t="s">
        <v>250</v>
      </c>
      <c r="N45" s="792"/>
    </row>
    <row r="46" spans="2:14">
      <c r="B46" s="1072"/>
      <c r="C46" s="1072"/>
      <c r="D46" s="1072"/>
      <c r="E46" s="1072"/>
      <c r="F46" s="1072"/>
      <c r="G46" s="1072"/>
      <c r="H46" s="1072"/>
      <c r="I46" s="730" t="s">
        <v>437</v>
      </c>
      <c r="J46" s="1072"/>
      <c r="K46" s="1072"/>
      <c r="L46" s="730" t="s">
        <v>437</v>
      </c>
      <c r="M46" s="1072"/>
      <c r="N46" s="792"/>
    </row>
    <row r="47" spans="2:14" ht="38.25">
      <c r="B47" s="730">
        <v>1</v>
      </c>
      <c r="C47" s="732" t="s">
        <v>585</v>
      </c>
      <c r="D47" s="635" t="s">
        <v>472</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646</v>
      </c>
      <c r="D48" s="635" t="s">
        <v>26</v>
      </c>
      <c r="E48" s="635" t="s">
        <v>26</v>
      </c>
      <c r="F48" s="752" t="s">
        <v>26</v>
      </c>
      <c r="G48" s="753">
        <v>0</v>
      </c>
      <c r="H48" s="636" t="s">
        <v>26</v>
      </c>
      <c r="I48" s="637" t="s">
        <v>26</v>
      </c>
      <c r="J48" s="638">
        <v>0</v>
      </c>
      <c r="K48" s="635" t="s">
        <v>26</v>
      </c>
      <c r="L48" s="637" t="s">
        <v>26</v>
      </c>
      <c r="M48" s="638">
        <v>0</v>
      </c>
      <c r="N48" s="792"/>
    </row>
    <row r="49" spans="2:14" ht="25.5">
      <c r="B49" s="730">
        <v>3</v>
      </c>
      <c r="C49" s="732" t="s">
        <v>896</v>
      </c>
      <c r="D49" s="635" t="s">
        <v>472</v>
      </c>
      <c r="E49" s="635" t="s">
        <v>26</v>
      </c>
      <c r="F49" s="752" t="s">
        <v>26</v>
      </c>
      <c r="G49" s="753">
        <v>2831</v>
      </c>
      <c r="H49" s="636" t="s">
        <v>26</v>
      </c>
      <c r="I49" s="637" t="s">
        <v>26</v>
      </c>
      <c r="J49" s="638">
        <v>0</v>
      </c>
      <c r="K49" s="635" t="s">
        <v>26</v>
      </c>
      <c r="L49" s="637" t="s">
        <v>26</v>
      </c>
      <c r="M49" s="638">
        <v>0</v>
      </c>
      <c r="N49" s="792"/>
    </row>
    <row r="50" spans="2:14" ht="25.5">
      <c r="B50" s="730">
        <v>4</v>
      </c>
      <c r="C50" s="732" t="s">
        <v>897</v>
      </c>
      <c r="D50" s="635" t="s">
        <v>472</v>
      </c>
      <c r="E50" s="635">
        <v>1</v>
      </c>
      <c r="F50" s="752">
        <v>2484</v>
      </c>
      <c r="G50" s="753">
        <v>2484</v>
      </c>
      <c r="H50" s="636" t="s">
        <v>26</v>
      </c>
      <c r="I50" s="637" t="s">
        <v>26</v>
      </c>
      <c r="J50" s="638">
        <v>0</v>
      </c>
      <c r="K50" s="635" t="s">
        <v>26</v>
      </c>
      <c r="L50" s="637" t="s">
        <v>26</v>
      </c>
      <c r="M50" s="638">
        <v>0</v>
      </c>
      <c r="N50" s="792"/>
    </row>
    <row r="51" spans="2:14" ht="25.5">
      <c r="B51" s="730">
        <v>5</v>
      </c>
      <c r="C51" s="732" t="s">
        <v>898</v>
      </c>
      <c r="D51" s="635" t="s">
        <v>472</v>
      </c>
      <c r="E51" s="635">
        <v>1</v>
      </c>
      <c r="F51" s="752">
        <v>1242</v>
      </c>
      <c r="G51" s="753">
        <v>1242</v>
      </c>
      <c r="H51" s="636" t="s">
        <v>26</v>
      </c>
      <c r="I51" s="637" t="s">
        <v>26</v>
      </c>
      <c r="J51" s="638">
        <v>0</v>
      </c>
      <c r="K51" s="635" t="s">
        <v>26</v>
      </c>
      <c r="L51" s="637" t="s">
        <v>26</v>
      </c>
      <c r="M51" s="638">
        <v>0</v>
      </c>
      <c r="N51" s="792"/>
    </row>
    <row r="52" spans="2:14" ht="25.5">
      <c r="B52" s="730">
        <v>6</v>
      </c>
      <c r="C52" s="732" t="s">
        <v>899</v>
      </c>
      <c r="D52" s="635" t="s">
        <v>472</v>
      </c>
      <c r="E52" s="635">
        <v>1</v>
      </c>
      <c r="F52" s="752">
        <v>1242</v>
      </c>
      <c r="G52" s="753">
        <v>1242</v>
      </c>
      <c r="H52" s="636" t="s">
        <v>26</v>
      </c>
      <c r="I52" s="637" t="s">
        <v>26</v>
      </c>
      <c r="J52" s="638">
        <v>0</v>
      </c>
      <c r="K52" s="635" t="s">
        <v>26</v>
      </c>
      <c r="L52" s="637" t="s">
        <v>26</v>
      </c>
      <c r="M52" s="638">
        <v>0</v>
      </c>
      <c r="N52" s="792"/>
    </row>
    <row r="53" spans="2:14">
      <c r="B53" s="730">
        <v>7</v>
      </c>
      <c r="C53" s="732" t="s">
        <v>900</v>
      </c>
      <c r="D53" s="635" t="s">
        <v>472</v>
      </c>
      <c r="E53" s="635">
        <v>1</v>
      </c>
      <c r="F53" s="752">
        <v>1242</v>
      </c>
      <c r="G53" s="753">
        <v>1242</v>
      </c>
      <c r="H53" s="636" t="s">
        <v>26</v>
      </c>
      <c r="I53" s="637" t="s">
        <v>26</v>
      </c>
      <c r="J53" s="638">
        <v>0</v>
      </c>
      <c r="K53" s="635" t="s">
        <v>26</v>
      </c>
      <c r="L53" s="637" t="s">
        <v>26</v>
      </c>
      <c r="M53" s="638">
        <v>0</v>
      </c>
      <c r="N53" s="792"/>
    </row>
    <row r="54" spans="2:14" ht="38.25">
      <c r="B54" s="730">
        <v>8</v>
      </c>
      <c r="C54" s="732" t="s">
        <v>645</v>
      </c>
      <c r="D54" s="635" t="s">
        <v>26</v>
      </c>
      <c r="E54" s="635" t="s">
        <v>26</v>
      </c>
      <c r="F54" s="752" t="s">
        <v>26</v>
      </c>
      <c r="G54" s="753">
        <v>537923.11</v>
      </c>
      <c r="H54" s="636" t="s">
        <v>26</v>
      </c>
      <c r="I54" s="637" t="s">
        <v>26</v>
      </c>
      <c r="J54" s="638">
        <v>491020.43</v>
      </c>
      <c r="K54" s="635" t="s">
        <v>26</v>
      </c>
      <c r="L54" s="637" t="s">
        <v>26</v>
      </c>
      <c r="M54" s="638">
        <v>491020.43</v>
      </c>
      <c r="N54" s="792"/>
    </row>
    <row r="55" spans="2:14">
      <c r="B55" s="615"/>
      <c r="C55" s="616" t="s">
        <v>257</v>
      </c>
      <c r="D55" s="612" t="s">
        <v>26</v>
      </c>
      <c r="E55" s="612" t="s">
        <v>26</v>
      </c>
      <c r="F55" s="754" t="s">
        <v>26</v>
      </c>
      <c r="G55" s="790">
        <f>SUM(G47:G54)</f>
        <v>598534.11</v>
      </c>
      <c r="H55" s="754" t="s">
        <v>26</v>
      </c>
      <c r="I55" s="612" t="s">
        <v>26</v>
      </c>
      <c r="J55" s="755">
        <f>SUM(J47:J54)</f>
        <v>542590.43000000005</v>
      </c>
      <c r="K55" s="612" t="s">
        <v>26</v>
      </c>
      <c r="L55" s="612" t="s">
        <v>26</v>
      </c>
      <c r="M55" s="755">
        <f>SUM(M47:M54)</f>
        <v>542590.43000000005</v>
      </c>
      <c r="N55" s="792"/>
    </row>
    <row r="58" spans="2:14">
      <c r="B58" s="543" t="s">
        <v>238</v>
      </c>
      <c r="C58" s="543"/>
      <c r="D58" s="543"/>
      <c r="E58" s="543"/>
      <c r="F58" s="543"/>
      <c r="G58" s="543"/>
      <c r="H58" s="543"/>
      <c r="I58" s="543"/>
      <c r="J58" s="543"/>
      <c r="K58" s="543"/>
      <c r="L58" s="543"/>
      <c r="M58" s="543"/>
      <c r="N58" s="543"/>
    </row>
    <row r="59" spans="2:14">
      <c r="B59" s="374" t="s">
        <v>239</v>
      </c>
      <c r="N59" s="543"/>
    </row>
    <row r="60" spans="2:14">
      <c r="B60" s="374" t="s">
        <v>866</v>
      </c>
      <c r="N60" s="543"/>
    </row>
    <row r="61" spans="2:14">
      <c r="B61" s="583" t="s">
        <v>894</v>
      </c>
      <c r="N61" s="543"/>
    </row>
    <row r="62" spans="2:14">
      <c r="B62" s="1072" t="s">
        <v>179</v>
      </c>
      <c r="C62" s="1072" t="s">
        <v>247</v>
      </c>
      <c r="D62" s="1072" t="s">
        <v>443</v>
      </c>
      <c r="E62" s="1073" t="s">
        <v>562</v>
      </c>
      <c r="F62" s="1086"/>
      <c r="G62" s="1074"/>
      <c r="H62" s="1073" t="s">
        <v>563</v>
      </c>
      <c r="I62" s="1086"/>
      <c r="J62" s="1074"/>
      <c r="K62" s="1073" t="s">
        <v>564</v>
      </c>
      <c r="L62" s="1086"/>
      <c r="M62" s="1074"/>
      <c r="N62" s="543"/>
    </row>
    <row r="63" spans="2:14">
      <c r="B63" s="1072"/>
      <c r="C63" s="1072"/>
      <c r="D63" s="1072"/>
      <c r="E63" s="1072" t="s">
        <v>422</v>
      </c>
      <c r="F63" s="1072" t="s">
        <v>310</v>
      </c>
      <c r="G63" s="1072" t="s">
        <v>250</v>
      </c>
      <c r="H63" s="1072" t="s">
        <v>422</v>
      </c>
      <c r="I63" s="730" t="s">
        <v>369</v>
      </c>
      <c r="J63" s="1072" t="s">
        <v>250</v>
      </c>
      <c r="K63" s="1072" t="s">
        <v>422</v>
      </c>
      <c r="L63" s="730" t="s">
        <v>369</v>
      </c>
      <c r="M63" s="1072" t="s">
        <v>250</v>
      </c>
      <c r="N63" s="543"/>
    </row>
    <row r="64" spans="2:14">
      <c r="B64" s="1072"/>
      <c r="C64" s="1072"/>
      <c r="D64" s="1072"/>
      <c r="E64" s="1072"/>
      <c r="F64" s="1072"/>
      <c r="G64" s="1072"/>
      <c r="H64" s="1072"/>
      <c r="I64" s="730" t="s">
        <v>437</v>
      </c>
      <c r="J64" s="1072"/>
      <c r="K64" s="1072"/>
      <c r="L64" s="730" t="s">
        <v>437</v>
      </c>
      <c r="M64" s="1072"/>
      <c r="N64" s="543"/>
    </row>
    <row r="65" spans="2:14" ht="38.25">
      <c r="B65" s="730">
        <v>1</v>
      </c>
      <c r="C65" s="732" t="s">
        <v>646</v>
      </c>
      <c r="D65" s="635" t="s">
        <v>26</v>
      </c>
      <c r="E65" s="635" t="s">
        <v>26</v>
      </c>
      <c r="F65" s="752" t="s">
        <v>26</v>
      </c>
      <c r="G65" s="753">
        <v>0</v>
      </c>
      <c r="H65" s="636" t="s">
        <v>26</v>
      </c>
      <c r="I65" s="637" t="s">
        <v>26</v>
      </c>
      <c r="J65" s="638">
        <v>0</v>
      </c>
      <c r="K65" s="635" t="s">
        <v>26</v>
      </c>
      <c r="L65" s="637" t="s">
        <v>26</v>
      </c>
      <c r="M65" s="638">
        <v>0</v>
      </c>
      <c r="N65" s="543"/>
    </row>
    <row r="66" spans="2:14" ht="38.25">
      <c r="B66" s="730">
        <v>2</v>
      </c>
      <c r="C66" s="732" t="s">
        <v>645</v>
      </c>
      <c r="D66" s="635" t="s">
        <v>26</v>
      </c>
      <c r="E66" s="635" t="s">
        <v>26</v>
      </c>
      <c r="F66" s="752" t="s">
        <v>26</v>
      </c>
      <c r="G66" s="753">
        <v>187438.31</v>
      </c>
      <c r="H66" s="636" t="s">
        <v>26</v>
      </c>
      <c r="I66" s="637" t="s">
        <v>26</v>
      </c>
      <c r="J66" s="638">
        <v>87438.32</v>
      </c>
      <c r="K66" s="635" t="s">
        <v>26</v>
      </c>
      <c r="L66" s="637" t="s">
        <v>26</v>
      </c>
      <c r="M66" s="638">
        <v>87438.31</v>
      </c>
      <c r="N66" s="543"/>
    </row>
    <row r="67" spans="2:14">
      <c r="B67" s="615"/>
      <c r="C67" s="616" t="s">
        <v>257</v>
      </c>
      <c r="D67" s="612" t="s">
        <v>26</v>
      </c>
      <c r="E67" s="612" t="s">
        <v>26</v>
      </c>
      <c r="F67" s="754" t="s">
        <v>26</v>
      </c>
      <c r="G67" s="790">
        <f>SUM(G65:G66)</f>
        <v>187438.31</v>
      </c>
      <c r="H67" s="754" t="s">
        <v>26</v>
      </c>
      <c r="I67" s="612" t="s">
        <v>26</v>
      </c>
      <c r="J67" s="755">
        <f>SUM(J65:J66)</f>
        <v>87438.32</v>
      </c>
      <c r="K67" s="612" t="s">
        <v>26</v>
      </c>
      <c r="L67" s="612" t="s">
        <v>26</v>
      </c>
      <c r="M67" s="755">
        <f>SUM(M65:M66)</f>
        <v>87438.31</v>
      </c>
      <c r="N67" s="543"/>
    </row>
    <row r="70" spans="2:14">
      <c r="B70" s="539" t="s">
        <v>654</v>
      </c>
      <c r="C70" s="539"/>
      <c r="D70" s="539"/>
      <c r="E70" s="539"/>
      <c r="F70" s="539"/>
      <c r="G70" s="539"/>
      <c r="H70" s="539"/>
      <c r="I70" s="539"/>
      <c r="J70" s="539"/>
      <c r="K70" s="539"/>
      <c r="L70" s="539"/>
      <c r="M70" s="539"/>
      <c r="N70" s="792"/>
    </row>
    <row r="71" spans="2:14">
      <c r="B71" s="374" t="s">
        <v>244</v>
      </c>
      <c r="N71" s="792"/>
    </row>
    <row r="72" spans="2:14">
      <c r="B72" s="374" t="s">
        <v>865</v>
      </c>
      <c r="N72" s="792"/>
    </row>
    <row r="73" spans="2:14">
      <c r="B73" s="583" t="s">
        <v>895</v>
      </c>
      <c r="N73" s="792"/>
    </row>
    <row r="74" spans="2:14">
      <c r="B74" s="1072" t="s">
        <v>179</v>
      </c>
      <c r="C74" s="1072" t="s">
        <v>247</v>
      </c>
      <c r="D74" s="1072" t="s">
        <v>443</v>
      </c>
      <c r="E74" s="1073" t="s">
        <v>562</v>
      </c>
      <c r="F74" s="1086"/>
      <c r="G74" s="1074"/>
      <c r="H74" s="1073" t="s">
        <v>563</v>
      </c>
      <c r="I74" s="1086"/>
      <c r="J74" s="1074"/>
      <c r="K74" s="1073" t="s">
        <v>564</v>
      </c>
      <c r="L74" s="1086"/>
      <c r="M74" s="1074"/>
      <c r="N74" s="792"/>
    </row>
    <row r="75" spans="2:14">
      <c r="B75" s="1072"/>
      <c r="C75" s="1072"/>
      <c r="D75" s="1072"/>
      <c r="E75" s="1072" t="s">
        <v>422</v>
      </c>
      <c r="F75" s="1072" t="s">
        <v>310</v>
      </c>
      <c r="G75" s="1072" t="s">
        <v>250</v>
      </c>
      <c r="H75" s="1072" t="s">
        <v>422</v>
      </c>
      <c r="I75" s="730" t="s">
        <v>369</v>
      </c>
      <c r="J75" s="1072" t="s">
        <v>250</v>
      </c>
      <c r="K75" s="1072" t="s">
        <v>422</v>
      </c>
      <c r="L75" s="730" t="s">
        <v>369</v>
      </c>
      <c r="M75" s="1072" t="s">
        <v>250</v>
      </c>
      <c r="N75" s="792"/>
    </row>
    <row r="76" spans="2:14">
      <c r="B76" s="1072"/>
      <c r="C76" s="1072"/>
      <c r="D76" s="1072"/>
      <c r="E76" s="1072"/>
      <c r="F76" s="1072"/>
      <c r="G76" s="1072"/>
      <c r="H76" s="1072"/>
      <c r="I76" s="730" t="s">
        <v>437</v>
      </c>
      <c r="J76" s="1072"/>
      <c r="K76" s="1072"/>
      <c r="L76" s="730" t="s">
        <v>437</v>
      </c>
      <c r="M76" s="1072"/>
      <c r="N76" s="792"/>
    </row>
    <row r="77" spans="2:14" ht="38.25">
      <c r="B77" s="730">
        <v>1</v>
      </c>
      <c r="C77" s="732" t="s">
        <v>646</v>
      </c>
      <c r="D77" s="635" t="s">
        <v>26</v>
      </c>
      <c r="E77" s="635" t="s">
        <v>26</v>
      </c>
      <c r="F77" s="752" t="s">
        <v>26</v>
      </c>
      <c r="G77" s="753">
        <v>6171.52</v>
      </c>
      <c r="H77" s="636" t="s">
        <v>26</v>
      </c>
      <c r="I77" s="637" t="s">
        <v>26</v>
      </c>
      <c r="J77" s="638">
        <v>7246.66</v>
      </c>
      <c r="K77" s="635" t="s">
        <v>26</v>
      </c>
      <c r="L77" s="637" t="s">
        <v>26</v>
      </c>
      <c r="M77" s="638">
        <v>7181.72</v>
      </c>
      <c r="N77" s="792"/>
    </row>
    <row r="78" spans="2:14">
      <c r="B78" s="615"/>
      <c r="C78" s="616" t="s">
        <v>257</v>
      </c>
      <c r="D78" s="612" t="s">
        <v>26</v>
      </c>
      <c r="E78" s="612" t="s">
        <v>26</v>
      </c>
      <c r="F78" s="754" t="s">
        <v>26</v>
      </c>
      <c r="G78" s="790">
        <f>SUM(G77:G77)</f>
        <v>6171.52</v>
      </c>
      <c r="H78" s="754" t="s">
        <v>26</v>
      </c>
      <c r="I78" s="612" t="s">
        <v>26</v>
      </c>
      <c r="J78" s="755">
        <f>SUM(J77:J77)</f>
        <v>7246.66</v>
      </c>
      <c r="K78" s="612" t="s">
        <v>26</v>
      </c>
      <c r="L78" s="612" t="s">
        <v>26</v>
      </c>
      <c r="M78" s="755">
        <f>SUM(M77:M77)</f>
        <v>7181.72</v>
      </c>
      <c r="N78" s="792"/>
    </row>
    <row r="81" spans="2:14">
      <c r="B81" s="543" t="s">
        <v>238</v>
      </c>
      <c r="C81" s="543"/>
      <c r="D81" s="543"/>
      <c r="E81" s="543"/>
      <c r="F81" s="543"/>
      <c r="G81" s="543"/>
      <c r="H81" s="543"/>
      <c r="I81" s="543"/>
      <c r="J81" s="543"/>
      <c r="K81" s="543"/>
      <c r="L81" s="543"/>
      <c r="M81" s="543"/>
      <c r="N81" s="543"/>
    </row>
    <row r="82" spans="2:14">
      <c r="B82" s="374" t="s">
        <v>239</v>
      </c>
      <c r="N82" s="543"/>
    </row>
    <row r="83" spans="2:14">
      <c r="B83" s="374" t="s">
        <v>866</v>
      </c>
      <c r="N83" s="543"/>
    </row>
    <row r="84" spans="2:14">
      <c r="B84" s="583" t="s">
        <v>895</v>
      </c>
      <c r="N84" s="543"/>
    </row>
    <row r="85" spans="2:14">
      <c r="B85" s="1072" t="s">
        <v>179</v>
      </c>
      <c r="C85" s="1072" t="s">
        <v>247</v>
      </c>
      <c r="D85" s="1072" t="s">
        <v>443</v>
      </c>
      <c r="E85" s="1073" t="s">
        <v>562</v>
      </c>
      <c r="F85" s="1086"/>
      <c r="G85" s="1074"/>
      <c r="H85" s="1073" t="s">
        <v>563</v>
      </c>
      <c r="I85" s="1086"/>
      <c r="J85" s="1074"/>
      <c r="K85" s="1073" t="s">
        <v>564</v>
      </c>
      <c r="L85" s="1086"/>
      <c r="M85" s="1074"/>
      <c r="N85" s="543"/>
    </row>
    <row r="86" spans="2:14">
      <c r="B86" s="1072"/>
      <c r="C86" s="1072"/>
      <c r="D86" s="1072"/>
      <c r="E86" s="1072" t="s">
        <v>422</v>
      </c>
      <c r="F86" s="1072" t="s">
        <v>310</v>
      </c>
      <c r="G86" s="1072" t="s">
        <v>250</v>
      </c>
      <c r="H86" s="1072" t="s">
        <v>422</v>
      </c>
      <c r="I86" s="730" t="s">
        <v>369</v>
      </c>
      <c r="J86" s="1072" t="s">
        <v>250</v>
      </c>
      <c r="K86" s="1072" t="s">
        <v>422</v>
      </c>
      <c r="L86" s="730" t="s">
        <v>369</v>
      </c>
      <c r="M86" s="1072" t="s">
        <v>250</v>
      </c>
      <c r="N86" s="543"/>
    </row>
    <row r="87" spans="2:14">
      <c r="B87" s="1072"/>
      <c r="C87" s="1072"/>
      <c r="D87" s="1072"/>
      <c r="E87" s="1072"/>
      <c r="F87" s="1072"/>
      <c r="G87" s="1072"/>
      <c r="H87" s="1072"/>
      <c r="I87" s="730" t="s">
        <v>437</v>
      </c>
      <c r="J87" s="1072"/>
      <c r="K87" s="1072"/>
      <c r="L87" s="730" t="s">
        <v>437</v>
      </c>
      <c r="M87" s="1072"/>
      <c r="N87" s="543"/>
    </row>
    <row r="88" spans="2:14" ht="38.25">
      <c r="B88" s="730">
        <v>1</v>
      </c>
      <c r="C88" s="732" t="s">
        <v>646</v>
      </c>
      <c r="D88" s="635" t="s">
        <v>26</v>
      </c>
      <c r="E88" s="635" t="s">
        <v>26</v>
      </c>
      <c r="F88" s="752" t="s">
        <v>26</v>
      </c>
      <c r="G88" s="753">
        <v>26310.14</v>
      </c>
      <c r="H88" s="636" t="s">
        <v>26</v>
      </c>
      <c r="I88" s="637" t="s">
        <v>26</v>
      </c>
      <c r="J88" s="638">
        <v>30893.68</v>
      </c>
      <c r="K88" s="635" t="s">
        <v>26</v>
      </c>
      <c r="L88" s="637" t="s">
        <v>26</v>
      </c>
      <c r="M88" s="638">
        <v>30616.73</v>
      </c>
      <c r="N88" s="543"/>
    </row>
    <row r="89" spans="2:14">
      <c r="B89" s="615"/>
      <c r="C89" s="616" t="s">
        <v>257</v>
      </c>
      <c r="D89" s="612" t="s">
        <v>26</v>
      </c>
      <c r="E89" s="612" t="s">
        <v>26</v>
      </c>
      <c r="F89" s="754" t="s">
        <v>26</v>
      </c>
      <c r="G89" s="790">
        <f>SUM(G88:G88)</f>
        <v>26310.14</v>
      </c>
      <c r="H89" s="754" t="s">
        <v>26</v>
      </c>
      <c r="I89" s="612" t="s">
        <v>26</v>
      </c>
      <c r="J89" s="755">
        <f>SUM(J88:J88)</f>
        <v>30893.68</v>
      </c>
      <c r="K89" s="612" t="s">
        <v>26</v>
      </c>
      <c r="L89" s="612" t="s">
        <v>26</v>
      </c>
      <c r="M89" s="755">
        <f>SUM(M88:M88)</f>
        <v>30616.73</v>
      </c>
      <c r="N89" s="543"/>
    </row>
    <row r="92" spans="2:14">
      <c r="B92" s="543" t="s">
        <v>238</v>
      </c>
      <c r="C92" s="543"/>
      <c r="D92" s="543"/>
      <c r="E92" s="543"/>
      <c r="F92" s="543"/>
      <c r="G92" s="543"/>
      <c r="H92" s="543"/>
      <c r="I92" s="543"/>
      <c r="J92" s="543"/>
      <c r="K92" s="543"/>
      <c r="L92" s="543"/>
      <c r="M92" s="543"/>
      <c r="N92" s="543"/>
    </row>
    <row r="93" spans="2:14">
      <c r="B93" s="374" t="s">
        <v>239</v>
      </c>
      <c r="N93" s="543"/>
    </row>
    <row r="94" spans="2:14">
      <c r="B94" s="374" t="s">
        <v>905</v>
      </c>
      <c r="N94" s="543"/>
    </row>
    <row r="95" spans="2:14" ht="15.75" thickBot="1">
      <c r="B95" s="583" t="s">
        <v>679</v>
      </c>
      <c r="N95" s="543"/>
    </row>
    <row r="96" spans="2:14">
      <c r="B96" s="1138" t="s">
        <v>179</v>
      </c>
      <c r="C96" s="1140" t="s">
        <v>247</v>
      </c>
      <c r="D96" s="1140" t="s">
        <v>443</v>
      </c>
      <c r="E96" s="1141" t="s">
        <v>562</v>
      </c>
      <c r="F96" s="1142"/>
      <c r="G96" s="1143"/>
      <c r="H96" s="1141" t="s">
        <v>563</v>
      </c>
      <c r="I96" s="1142"/>
      <c r="J96" s="1143"/>
      <c r="K96" s="1141" t="s">
        <v>564</v>
      </c>
      <c r="L96" s="1142"/>
      <c r="M96" s="1144"/>
      <c r="N96" s="543"/>
    </row>
    <row r="97" spans="2:14">
      <c r="B97" s="1139"/>
      <c r="C97" s="1072"/>
      <c r="D97" s="1072"/>
      <c r="E97" s="1072" t="s">
        <v>422</v>
      </c>
      <c r="F97" s="1116" t="s">
        <v>310</v>
      </c>
      <c r="G97" s="1116" t="s">
        <v>250</v>
      </c>
      <c r="H97" s="1116" t="s">
        <v>422</v>
      </c>
      <c r="I97" s="1116" t="s">
        <v>310</v>
      </c>
      <c r="J97" s="1072" t="s">
        <v>250</v>
      </c>
      <c r="K97" s="1072" t="s">
        <v>422</v>
      </c>
      <c r="L97" s="1116" t="s">
        <v>310</v>
      </c>
      <c r="M97" s="1145" t="s">
        <v>250</v>
      </c>
      <c r="N97" s="543"/>
    </row>
    <row r="98" spans="2:14">
      <c r="B98" s="1139"/>
      <c r="C98" s="1072"/>
      <c r="D98" s="1072"/>
      <c r="E98" s="1072"/>
      <c r="F98" s="1116"/>
      <c r="G98" s="1116"/>
      <c r="H98" s="1116"/>
      <c r="I98" s="1116"/>
      <c r="J98" s="1072"/>
      <c r="K98" s="1072"/>
      <c r="L98" s="1116"/>
      <c r="M98" s="1145"/>
      <c r="N98" s="543"/>
    </row>
    <row r="99" spans="2:14" ht="51.75" thickBot="1">
      <c r="B99" s="763" t="s">
        <v>222</v>
      </c>
      <c r="C99" s="670" t="s">
        <v>690</v>
      </c>
      <c r="D99" s="671" t="s">
        <v>26</v>
      </c>
      <c r="E99" s="671" t="s">
        <v>26</v>
      </c>
      <c r="F99" s="672" t="s">
        <v>26</v>
      </c>
      <c r="G99" s="673">
        <f>G100+G108+G110</f>
        <v>83000</v>
      </c>
      <c r="H99" s="671" t="s">
        <v>26</v>
      </c>
      <c r="I99" s="672" t="s">
        <v>26</v>
      </c>
      <c r="J99" s="673">
        <f>J100+J108+J110</f>
        <v>0</v>
      </c>
      <c r="K99" s="671" t="s">
        <v>26</v>
      </c>
      <c r="L99" s="672" t="s">
        <v>26</v>
      </c>
      <c r="M99" s="764">
        <f>M100+M108+M110</f>
        <v>0</v>
      </c>
      <c r="N99" s="543"/>
    </row>
    <row r="100" spans="2:14" ht="26.25" thickBot="1">
      <c r="B100" s="653" t="s">
        <v>180</v>
      </c>
      <c r="C100" s="654" t="s">
        <v>680</v>
      </c>
      <c r="D100" s="655" t="s">
        <v>26</v>
      </c>
      <c r="E100" s="655" t="s">
        <v>26</v>
      </c>
      <c r="F100" s="656" t="s">
        <v>26</v>
      </c>
      <c r="G100" s="657">
        <f>SUM(G101:G107)</f>
        <v>44069.99</v>
      </c>
      <c r="H100" s="655" t="s">
        <v>26</v>
      </c>
      <c r="I100" s="655" t="s">
        <v>26</v>
      </c>
      <c r="J100" s="660">
        <v>0</v>
      </c>
      <c r="K100" s="655" t="s">
        <v>26</v>
      </c>
      <c r="L100" s="655" t="s">
        <v>26</v>
      </c>
      <c r="M100" s="661">
        <v>0</v>
      </c>
      <c r="N100" s="543"/>
    </row>
    <row r="101" spans="2:14" ht="38.25">
      <c r="B101" s="765" t="s">
        <v>774</v>
      </c>
      <c r="C101" s="646" t="s">
        <v>681</v>
      </c>
      <c r="D101" s="647" t="s">
        <v>686</v>
      </c>
      <c r="E101" s="647">
        <v>3</v>
      </c>
      <c r="F101" s="648">
        <v>298</v>
      </c>
      <c r="G101" s="649">
        <v>893.99</v>
      </c>
      <c r="H101" s="647" t="s">
        <v>686</v>
      </c>
      <c r="I101" s="651">
        <v>0</v>
      </c>
      <c r="J101" s="652">
        <v>0</v>
      </c>
      <c r="K101" s="647" t="s">
        <v>686</v>
      </c>
      <c r="L101" s="651">
        <v>0</v>
      </c>
      <c r="M101" s="766">
        <v>0</v>
      </c>
      <c r="N101" s="543"/>
    </row>
    <row r="102" spans="2:14" ht="25.5">
      <c r="B102" s="767" t="s">
        <v>775</v>
      </c>
      <c r="C102" s="621" t="s">
        <v>862</v>
      </c>
      <c r="D102" s="639" t="s">
        <v>686</v>
      </c>
      <c r="E102" s="639">
        <v>6</v>
      </c>
      <c r="F102" s="640">
        <v>4690</v>
      </c>
      <c r="G102" s="641">
        <f t="shared" ref="G102:G109" si="3">E102*F102</f>
        <v>28140</v>
      </c>
      <c r="H102" s="639" t="s">
        <v>686</v>
      </c>
      <c r="I102" s="643">
        <v>0</v>
      </c>
      <c r="J102" s="644">
        <v>0</v>
      </c>
      <c r="K102" s="639" t="s">
        <v>686</v>
      </c>
      <c r="L102" s="643">
        <v>0</v>
      </c>
      <c r="M102" s="768">
        <v>0</v>
      </c>
      <c r="N102" s="543"/>
    </row>
    <row r="103" spans="2:14" ht="25.5">
      <c r="B103" s="767" t="s">
        <v>776</v>
      </c>
      <c r="C103" s="621" t="s">
        <v>682</v>
      </c>
      <c r="D103" s="639" t="s">
        <v>686</v>
      </c>
      <c r="E103" s="639">
        <v>1</v>
      </c>
      <c r="F103" s="640">
        <v>4800</v>
      </c>
      <c r="G103" s="641">
        <f t="shared" si="3"/>
        <v>4800</v>
      </c>
      <c r="H103" s="639" t="s">
        <v>686</v>
      </c>
      <c r="I103" s="642">
        <v>0</v>
      </c>
      <c r="J103" s="644">
        <v>0</v>
      </c>
      <c r="K103" s="639" t="s">
        <v>686</v>
      </c>
      <c r="L103" s="643">
        <v>0</v>
      </c>
      <c r="M103" s="768">
        <v>0</v>
      </c>
      <c r="N103" s="543"/>
    </row>
    <row r="104" spans="2:14" ht="25.5">
      <c r="B104" s="767" t="s">
        <v>777</v>
      </c>
      <c r="C104" s="621" t="s">
        <v>683</v>
      </c>
      <c r="D104" s="639" t="s">
        <v>686</v>
      </c>
      <c r="E104" s="639">
        <v>1</v>
      </c>
      <c r="F104" s="640">
        <v>4900</v>
      </c>
      <c r="G104" s="641">
        <f t="shared" si="3"/>
        <v>4900</v>
      </c>
      <c r="H104" s="639" t="s">
        <v>686</v>
      </c>
      <c r="I104" s="643">
        <v>0</v>
      </c>
      <c r="J104" s="644">
        <v>0</v>
      </c>
      <c r="K104" s="639" t="s">
        <v>686</v>
      </c>
      <c r="L104" s="643">
        <v>0</v>
      </c>
      <c r="M104" s="768">
        <v>0</v>
      </c>
      <c r="N104" s="543"/>
    </row>
    <row r="105" spans="2:14" ht="25.5">
      <c r="B105" s="767" t="s">
        <v>778</v>
      </c>
      <c r="C105" s="621" t="s">
        <v>684</v>
      </c>
      <c r="D105" s="639" t="s">
        <v>686</v>
      </c>
      <c r="E105" s="639">
        <v>1</v>
      </c>
      <c r="F105" s="640">
        <v>4500</v>
      </c>
      <c r="G105" s="641">
        <f t="shared" si="3"/>
        <v>4500</v>
      </c>
      <c r="H105" s="639" t="s">
        <v>686</v>
      </c>
      <c r="I105" s="643">
        <v>0</v>
      </c>
      <c r="J105" s="644">
        <v>0</v>
      </c>
      <c r="K105" s="639" t="s">
        <v>686</v>
      </c>
      <c r="L105" s="643">
        <v>0</v>
      </c>
      <c r="M105" s="768">
        <v>0</v>
      </c>
      <c r="N105" s="543"/>
    </row>
    <row r="106" spans="2:14">
      <c r="B106" s="767" t="s">
        <v>779</v>
      </c>
      <c r="C106" s="621" t="s">
        <v>685</v>
      </c>
      <c r="D106" s="639" t="s">
        <v>472</v>
      </c>
      <c r="E106" s="639">
        <v>1</v>
      </c>
      <c r="F106" s="640">
        <v>353</v>
      </c>
      <c r="G106" s="641">
        <f t="shared" si="3"/>
        <v>353</v>
      </c>
      <c r="H106" s="639" t="s">
        <v>472</v>
      </c>
      <c r="I106" s="643">
        <v>0</v>
      </c>
      <c r="J106" s="644">
        <v>0</v>
      </c>
      <c r="K106" s="639" t="s">
        <v>472</v>
      </c>
      <c r="L106" s="643">
        <v>0</v>
      </c>
      <c r="M106" s="768">
        <v>0</v>
      </c>
      <c r="N106" s="543"/>
    </row>
    <row r="107" spans="2:14" ht="15.75" thickBot="1">
      <c r="B107" s="769" t="s">
        <v>780</v>
      </c>
      <c r="C107" s="662" t="s">
        <v>685</v>
      </c>
      <c r="D107" s="663" t="s">
        <v>472</v>
      </c>
      <c r="E107" s="663">
        <v>1</v>
      </c>
      <c r="F107" s="664">
        <v>483</v>
      </c>
      <c r="G107" s="665">
        <f t="shared" si="3"/>
        <v>483</v>
      </c>
      <c r="H107" s="663" t="s">
        <v>472</v>
      </c>
      <c r="I107" s="667">
        <v>0</v>
      </c>
      <c r="J107" s="668">
        <v>0</v>
      </c>
      <c r="K107" s="663" t="s">
        <v>472</v>
      </c>
      <c r="L107" s="667">
        <v>0</v>
      </c>
      <c r="M107" s="770">
        <v>0</v>
      </c>
      <c r="N107" s="543"/>
    </row>
    <row r="108" spans="2:14" ht="39" thickBot="1">
      <c r="B108" s="653" t="s">
        <v>181</v>
      </c>
      <c r="C108" s="654" t="s">
        <v>687</v>
      </c>
      <c r="D108" s="655" t="s">
        <v>26</v>
      </c>
      <c r="E108" s="655" t="s">
        <v>26</v>
      </c>
      <c r="F108" s="656" t="s">
        <v>26</v>
      </c>
      <c r="G108" s="657">
        <f>G109</f>
        <v>399</v>
      </c>
      <c r="H108" s="655" t="s">
        <v>26</v>
      </c>
      <c r="I108" s="655" t="s">
        <v>26</v>
      </c>
      <c r="J108" s="660"/>
      <c r="K108" s="655" t="s">
        <v>26</v>
      </c>
      <c r="L108" s="655" t="s">
        <v>26</v>
      </c>
      <c r="M108" s="661"/>
      <c r="N108" s="543"/>
    </row>
    <row r="109" spans="2:14" ht="15.75" thickBot="1">
      <c r="B109" s="765" t="s">
        <v>781</v>
      </c>
      <c r="C109" s="646" t="s">
        <v>688</v>
      </c>
      <c r="D109" s="647" t="s">
        <v>689</v>
      </c>
      <c r="E109" s="647">
        <v>2</v>
      </c>
      <c r="F109" s="648">
        <v>199.5</v>
      </c>
      <c r="G109" s="649">
        <f t="shared" si="3"/>
        <v>399</v>
      </c>
      <c r="H109" s="647" t="s">
        <v>689</v>
      </c>
      <c r="I109" s="651">
        <v>0</v>
      </c>
      <c r="J109" s="652">
        <v>0</v>
      </c>
      <c r="K109" s="647" t="s">
        <v>689</v>
      </c>
      <c r="L109" s="651">
        <v>0</v>
      </c>
      <c r="M109" s="766">
        <v>0</v>
      </c>
      <c r="N109" s="543"/>
    </row>
    <row r="110" spans="2:14" ht="26.25" thickBot="1">
      <c r="B110" s="653" t="s">
        <v>906</v>
      </c>
      <c r="C110" s="654" t="s">
        <v>908</v>
      </c>
      <c r="D110" s="655" t="s">
        <v>26</v>
      </c>
      <c r="E110" s="655" t="s">
        <v>26</v>
      </c>
      <c r="F110" s="656" t="s">
        <v>26</v>
      </c>
      <c r="G110" s="657">
        <f>SUM(G111:G112)</f>
        <v>38531.01</v>
      </c>
      <c r="H110" s="655" t="s">
        <v>26</v>
      </c>
      <c r="I110" s="655" t="s">
        <v>26</v>
      </c>
      <c r="J110" s="660">
        <v>0</v>
      </c>
      <c r="K110" s="655" t="s">
        <v>26</v>
      </c>
      <c r="L110" s="655" t="s">
        <v>26</v>
      </c>
      <c r="M110" s="661"/>
      <c r="N110" s="543"/>
    </row>
    <row r="111" spans="2:14">
      <c r="B111" s="765" t="s">
        <v>907</v>
      </c>
      <c r="C111" s="646" t="s">
        <v>909</v>
      </c>
      <c r="D111" s="647" t="s">
        <v>472</v>
      </c>
      <c r="E111" s="647">
        <v>1</v>
      </c>
      <c r="F111" s="648">
        <v>149</v>
      </c>
      <c r="G111" s="649">
        <f t="shared" ref="G111" si="4">E111*F111</f>
        <v>149</v>
      </c>
      <c r="H111" s="647" t="s">
        <v>472</v>
      </c>
      <c r="I111" s="651">
        <v>0</v>
      </c>
      <c r="J111" s="652">
        <v>0</v>
      </c>
      <c r="K111" s="647" t="s">
        <v>472</v>
      </c>
      <c r="L111" s="651">
        <v>0</v>
      </c>
      <c r="M111" s="766">
        <v>0</v>
      </c>
      <c r="N111" s="543"/>
    </row>
    <row r="112" spans="2:14">
      <c r="B112" s="771" t="s">
        <v>911</v>
      </c>
      <c r="C112" s="756" t="s">
        <v>910</v>
      </c>
      <c r="D112" s="757" t="s">
        <v>912</v>
      </c>
      <c r="E112" s="757" t="s">
        <v>26</v>
      </c>
      <c r="F112" s="758" t="s">
        <v>26</v>
      </c>
      <c r="G112" s="759">
        <v>38382.01</v>
      </c>
      <c r="H112" s="757" t="s">
        <v>912</v>
      </c>
      <c r="I112" s="760">
        <v>0</v>
      </c>
      <c r="J112" s="761">
        <v>0</v>
      </c>
      <c r="K112" s="757" t="s">
        <v>912</v>
      </c>
      <c r="L112" s="760">
        <v>0</v>
      </c>
      <c r="M112" s="772">
        <v>0</v>
      </c>
      <c r="N112" s="543"/>
    </row>
    <row r="113" spans="2:14" ht="51.75" thickBot="1">
      <c r="B113" s="763" t="s">
        <v>224</v>
      </c>
      <c r="C113" s="670" t="s">
        <v>691</v>
      </c>
      <c r="D113" s="671" t="s">
        <v>26</v>
      </c>
      <c r="E113" s="671" t="s">
        <v>26</v>
      </c>
      <c r="F113" s="672" t="s">
        <v>26</v>
      </c>
      <c r="G113" s="673">
        <f>G114+G163+G192+G194+G196</f>
        <v>537603.27</v>
      </c>
      <c r="H113" s="671" t="s">
        <v>26</v>
      </c>
      <c r="I113" s="672" t="s">
        <v>26</v>
      </c>
      <c r="J113" s="673">
        <f>J114+J163+J192+J194+J196</f>
        <v>477131.95</v>
      </c>
      <c r="K113" s="671" t="s">
        <v>26</v>
      </c>
      <c r="L113" s="672" t="s">
        <v>26</v>
      </c>
      <c r="M113" s="764">
        <f>M114+M163+M192+M194+M196</f>
        <v>341416.55</v>
      </c>
      <c r="N113" s="543"/>
    </row>
    <row r="114" spans="2:14" ht="39" thickBot="1">
      <c r="B114" s="653" t="s">
        <v>408</v>
      </c>
      <c r="C114" s="654" t="s">
        <v>834</v>
      </c>
      <c r="D114" s="655" t="s">
        <v>26</v>
      </c>
      <c r="E114" s="655" t="s">
        <v>26</v>
      </c>
      <c r="F114" s="656" t="s">
        <v>26</v>
      </c>
      <c r="G114" s="657">
        <f>SUM(G115:G162)</f>
        <v>94073.99</v>
      </c>
      <c r="H114" s="658" t="s">
        <v>26</v>
      </c>
      <c r="I114" s="659" t="s">
        <v>26</v>
      </c>
      <c r="J114" s="660">
        <v>0</v>
      </c>
      <c r="K114" s="655" t="s">
        <v>26</v>
      </c>
      <c r="L114" s="659" t="s">
        <v>26</v>
      </c>
      <c r="M114" s="661">
        <v>0</v>
      </c>
      <c r="N114" s="543"/>
    </row>
    <row r="115" spans="2:14">
      <c r="B115" s="765" t="s">
        <v>782</v>
      </c>
      <c r="C115" s="646" t="s">
        <v>692</v>
      </c>
      <c r="D115" s="647" t="s">
        <v>472</v>
      </c>
      <c r="E115" s="647">
        <v>14</v>
      </c>
      <c r="F115" s="648">
        <v>585</v>
      </c>
      <c r="G115" s="649">
        <f>E115*F115</f>
        <v>8190</v>
      </c>
      <c r="H115" s="674" t="s">
        <v>26</v>
      </c>
      <c r="I115" s="675" t="s">
        <v>26</v>
      </c>
      <c r="J115" s="676">
        <v>0</v>
      </c>
      <c r="K115" s="677" t="s">
        <v>26</v>
      </c>
      <c r="L115" s="675" t="s">
        <v>26</v>
      </c>
      <c r="M115" s="773">
        <v>0</v>
      </c>
      <c r="N115" s="543"/>
    </row>
    <row r="116" spans="2:14">
      <c r="B116" s="767" t="s">
        <v>783</v>
      </c>
      <c r="C116" s="621" t="s">
        <v>693</v>
      </c>
      <c r="D116" s="639" t="s">
        <v>472</v>
      </c>
      <c r="E116" s="639">
        <v>6</v>
      </c>
      <c r="F116" s="640">
        <v>835</v>
      </c>
      <c r="G116" s="641">
        <f t="shared" ref="G116:G179" si="5">E116*F116</f>
        <v>5010</v>
      </c>
      <c r="H116" s="636" t="s">
        <v>26</v>
      </c>
      <c r="I116" s="637" t="s">
        <v>26</v>
      </c>
      <c r="J116" s="638">
        <v>0</v>
      </c>
      <c r="K116" s="635" t="s">
        <v>26</v>
      </c>
      <c r="L116" s="637" t="s">
        <v>26</v>
      </c>
      <c r="M116" s="774">
        <v>0</v>
      </c>
      <c r="N116" s="543"/>
    </row>
    <row r="117" spans="2:14" ht="25.5">
      <c r="B117" s="767" t="s">
        <v>784</v>
      </c>
      <c r="C117" s="621" t="s">
        <v>694</v>
      </c>
      <c r="D117" s="639" t="s">
        <v>472</v>
      </c>
      <c r="E117" s="639">
        <v>14</v>
      </c>
      <c r="F117" s="640">
        <v>900</v>
      </c>
      <c r="G117" s="641">
        <f t="shared" si="5"/>
        <v>12600</v>
      </c>
      <c r="H117" s="636" t="s">
        <v>26</v>
      </c>
      <c r="I117" s="637" t="s">
        <v>26</v>
      </c>
      <c r="J117" s="638">
        <v>0</v>
      </c>
      <c r="K117" s="635" t="s">
        <v>26</v>
      </c>
      <c r="L117" s="637" t="s">
        <v>26</v>
      </c>
      <c r="M117" s="774">
        <v>0</v>
      </c>
      <c r="N117" s="543"/>
    </row>
    <row r="118" spans="2:14">
      <c r="B118" s="767" t="s">
        <v>785</v>
      </c>
      <c r="C118" s="621" t="s">
        <v>695</v>
      </c>
      <c r="D118" s="639" t="s">
        <v>472</v>
      </c>
      <c r="E118" s="639">
        <v>10</v>
      </c>
      <c r="F118" s="640">
        <v>860</v>
      </c>
      <c r="G118" s="641">
        <f t="shared" si="5"/>
        <v>8600</v>
      </c>
      <c r="H118" s="636" t="s">
        <v>26</v>
      </c>
      <c r="I118" s="637" t="s">
        <v>26</v>
      </c>
      <c r="J118" s="638">
        <v>0</v>
      </c>
      <c r="K118" s="635" t="s">
        <v>26</v>
      </c>
      <c r="L118" s="637" t="s">
        <v>26</v>
      </c>
      <c r="M118" s="774">
        <v>0</v>
      </c>
      <c r="N118" s="543"/>
    </row>
    <row r="119" spans="2:14">
      <c r="B119" s="767" t="s">
        <v>786</v>
      </c>
      <c r="C119" s="621" t="s">
        <v>696</v>
      </c>
      <c r="D119" s="639" t="s">
        <v>472</v>
      </c>
      <c r="E119" s="639">
        <v>15</v>
      </c>
      <c r="F119" s="640">
        <v>130</v>
      </c>
      <c r="G119" s="641">
        <f t="shared" si="5"/>
        <v>1950</v>
      </c>
      <c r="H119" s="636" t="s">
        <v>26</v>
      </c>
      <c r="I119" s="637" t="s">
        <v>26</v>
      </c>
      <c r="J119" s="638">
        <v>0</v>
      </c>
      <c r="K119" s="635" t="s">
        <v>26</v>
      </c>
      <c r="L119" s="637" t="s">
        <v>26</v>
      </c>
      <c r="M119" s="774">
        <v>0</v>
      </c>
      <c r="N119" s="543"/>
    </row>
    <row r="120" spans="2:14">
      <c r="B120" s="767" t="s">
        <v>787</v>
      </c>
      <c r="C120" s="621" t="s">
        <v>697</v>
      </c>
      <c r="D120" s="639" t="s">
        <v>472</v>
      </c>
      <c r="E120" s="639">
        <v>300</v>
      </c>
      <c r="F120" s="640">
        <v>1.2</v>
      </c>
      <c r="G120" s="641">
        <f t="shared" si="5"/>
        <v>360</v>
      </c>
      <c r="H120" s="636" t="s">
        <v>26</v>
      </c>
      <c r="I120" s="637" t="s">
        <v>26</v>
      </c>
      <c r="J120" s="638">
        <v>0</v>
      </c>
      <c r="K120" s="635" t="s">
        <v>26</v>
      </c>
      <c r="L120" s="637" t="s">
        <v>26</v>
      </c>
      <c r="M120" s="774">
        <v>0</v>
      </c>
      <c r="N120" s="543"/>
    </row>
    <row r="121" spans="2:14">
      <c r="B121" s="767" t="s">
        <v>788</v>
      </c>
      <c r="C121" s="621" t="s">
        <v>698</v>
      </c>
      <c r="D121" s="639" t="s">
        <v>740</v>
      </c>
      <c r="E121" s="639">
        <v>1</v>
      </c>
      <c r="F121" s="640">
        <v>50</v>
      </c>
      <c r="G121" s="641">
        <f t="shared" si="5"/>
        <v>50</v>
      </c>
      <c r="H121" s="636" t="s">
        <v>26</v>
      </c>
      <c r="I121" s="637" t="s">
        <v>26</v>
      </c>
      <c r="J121" s="638">
        <v>0</v>
      </c>
      <c r="K121" s="635" t="s">
        <v>26</v>
      </c>
      <c r="L121" s="637" t="s">
        <v>26</v>
      </c>
      <c r="M121" s="774">
        <v>0</v>
      </c>
      <c r="N121" s="543"/>
    </row>
    <row r="122" spans="2:14">
      <c r="B122" s="767" t="s">
        <v>789</v>
      </c>
      <c r="C122" s="621" t="s">
        <v>699</v>
      </c>
      <c r="D122" s="639" t="s">
        <v>741</v>
      </c>
      <c r="E122" s="639">
        <v>50</v>
      </c>
      <c r="F122" s="640">
        <v>3.5</v>
      </c>
      <c r="G122" s="641">
        <f t="shared" si="5"/>
        <v>175</v>
      </c>
      <c r="H122" s="636" t="s">
        <v>26</v>
      </c>
      <c r="I122" s="637" t="s">
        <v>26</v>
      </c>
      <c r="J122" s="638">
        <v>0</v>
      </c>
      <c r="K122" s="635" t="s">
        <v>26</v>
      </c>
      <c r="L122" s="637" t="s">
        <v>26</v>
      </c>
      <c r="M122" s="774">
        <v>0</v>
      </c>
      <c r="N122" s="543"/>
    </row>
    <row r="123" spans="2:14">
      <c r="B123" s="767" t="s">
        <v>790</v>
      </c>
      <c r="C123" s="621" t="s">
        <v>700</v>
      </c>
      <c r="D123" s="639" t="s">
        <v>472</v>
      </c>
      <c r="E123" s="639">
        <v>500</v>
      </c>
      <c r="F123" s="640">
        <v>0.8</v>
      </c>
      <c r="G123" s="641">
        <f t="shared" si="5"/>
        <v>400</v>
      </c>
      <c r="H123" s="636" t="s">
        <v>26</v>
      </c>
      <c r="I123" s="637" t="s">
        <v>26</v>
      </c>
      <c r="J123" s="638">
        <v>0</v>
      </c>
      <c r="K123" s="635" t="s">
        <v>26</v>
      </c>
      <c r="L123" s="637" t="s">
        <v>26</v>
      </c>
      <c r="M123" s="774">
        <v>0</v>
      </c>
      <c r="N123" s="543"/>
    </row>
    <row r="124" spans="2:14">
      <c r="B124" s="767" t="s">
        <v>791</v>
      </c>
      <c r="C124" s="621" t="s">
        <v>701</v>
      </c>
      <c r="D124" s="639" t="s">
        <v>742</v>
      </c>
      <c r="E124" s="639">
        <v>1.1399999999999999</v>
      </c>
      <c r="F124" s="640">
        <v>300</v>
      </c>
      <c r="G124" s="641">
        <f t="shared" si="5"/>
        <v>342</v>
      </c>
      <c r="H124" s="636" t="s">
        <v>26</v>
      </c>
      <c r="I124" s="637" t="s">
        <v>26</v>
      </c>
      <c r="J124" s="638">
        <v>0</v>
      </c>
      <c r="K124" s="635" t="s">
        <v>26</v>
      </c>
      <c r="L124" s="637" t="s">
        <v>26</v>
      </c>
      <c r="M124" s="774">
        <v>0</v>
      </c>
      <c r="N124" s="543"/>
    </row>
    <row r="125" spans="2:14" ht="25.5">
      <c r="B125" s="767" t="s">
        <v>792</v>
      </c>
      <c r="C125" s="621" t="s">
        <v>702</v>
      </c>
      <c r="D125" s="639" t="s">
        <v>742</v>
      </c>
      <c r="E125" s="639">
        <v>1</v>
      </c>
      <c r="F125" s="640">
        <v>330</v>
      </c>
      <c r="G125" s="641">
        <f t="shared" si="5"/>
        <v>330</v>
      </c>
      <c r="H125" s="636" t="s">
        <v>26</v>
      </c>
      <c r="I125" s="637" t="s">
        <v>26</v>
      </c>
      <c r="J125" s="638">
        <v>0</v>
      </c>
      <c r="K125" s="635" t="s">
        <v>26</v>
      </c>
      <c r="L125" s="637" t="s">
        <v>26</v>
      </c>
      <c r="M125" s="774">
        <v>0</v>
      </c>
      <c r="N125" s="543"/>
    </row>
    <row r="126" spans="2:14" ht="25.5">
      <c r="B126" s="767" t="s">
        <v>793</v>
      </c>
      <c r="C126" s="621" t="s">
        <v>703</v>
      </c>
      <c r="D126" s="639" t="s">
        <v>472</v>
      </c>
      <c r="E126" s="639">
        <v>22</v>
      </c>
      <c r="F126" s="640">
        <v>120</v>
      </c>
      <c r="G126" s="641">
        <f t="shared" si="5"/>
        <v>2640</v>
      </c>
      <c r="H126" s="636" t="s">
        <v>26</v>
      </c>
      <c r="I126" s="637" t="s">
        <v>26</v>
      </c>
      <c r="J126" s="638">
        <v>0</v>
      </c>
      <c r="K126" s="635" t="s">
        <v>26</v>
      </c>
      <c r="L126" s="637" t="s">
        <v>26</v>
      </c>
      <c r="M126" s="774">
        <v>0</v>
      </c>
      <c r="N126" s="543"/>
    </row>
    <row r="127" spans="2:14" ht="25.5">
      <c r="B127" s="767" t="s">
        <v>794</v>
      </c>
      <c r="C127" s="621" t="s">
        <v>704</v>
      </c>
      <c r="D127" s="639" t="s">
        <v>472</v>
      </c>
      <c r="E127" s="639">
        <v>6</v>
      </c>
      <c r="F127" s="640">
        <v>220</v>
      </c>
      <c r="G127" s="641">
        <f t="shared" si="5"/>
        <v>1320</v>
      </c>
      <c r="H127" s="636" t="s">
        <v>26</v>
      </c>
      <c r="I127" s="637" t="s">
        <v>26</v>
      </c>
      <c r="J127" s="638">
        <v>0</v>
      </c>
      <c r="K127" s="635" t="s">
        <v>26</v>
      </c>
      <c r="L127" s="637" t="s">
        <v>26</v>
      </c>
      <c r="M127" s="774">
        <v>0</v>
      </c>
      <c r="N127" s="543"/>
    </row>
    <row r="128" spans="2:14" ht="25.5">
      <c r="B128" s="767" t="s">
        <v>795</v>
      </c>
      <c r="C128" s="621" t="s">
        <v>705</v>
      </c>
      <c r="D128" s="639" t="s">
        <v>472</v>
      </c>
      <c r="E128" s="639">
        <v>12</v>
      </c>
      <c r="F128" s="640">
        <v>42</v>
      </c>
      <c r="G128" s="641">
        <f t="shared" si="5"/>
        <v>504</v>
      </c>
      <c r="H128" s="636" t="s">
        <v>26</v>
      </c>
      <c r="I128" s="637" t="s">
        <v>26</v>
      </c>
      <c r="J128" s="638">
        <v>0</v>
      </c>
      <c r="K128" s="635" t="s">
        <v>26</v>
      </c>
      <c r="L128" s="637" t="s">
        <v>26</v>
      </c>
      <c r="M128" s="774">
        <v>0</v>
      </c>
      <c r="N128" s="543"/>
    </row>
    <row r="129" spans="2:14">
      <c r="B129" s="767" t="s">
        <v>796</v>
      </c>
      <c r="C129" s="621" t="s">
        <v>706</v>
      </c>
      <c r="D129" s="639" t="s">
        <v>472</v>
      </c>
      <c r="E129" s="639">
        <v>4</v>
      </c>
      <c r="F129" s="640">
        <v>12.99</v>
      </c>
      <c r="G129" s="641">
        <f t="shared" si="5"/>
        <v>51.96</v>
      </c>
      <c r="H129" s="636" t="s">
        <v>26</v>
      </c>
      <c r="I129" s="637" t="s">
        <v>26</v>
      </c>
      <c r="J129" s="638">
        <v>0</v>
      </c>
      <c r="K129" s="635" t="s">
        <v>26</v>
      </c>
      <c r="L129" s="637" t="s">
        <v>26</v>
      </c>
      <c r="M129" s="774">
        <v>0</v>
      </c>
      <c r="N129" s="543"/>
    </row>
    <row r="130" spans="2:14" ht="25.5">
      <c r="B130" s="767" t="s">
        <v>797</v>
      </c>
      <c r="C130" s="621" t="s">
        <v>707</v>
      </c>
      <c r="D130" s="639" t="s">
        <v>472</v>
      </c>
      <c r="E130" s="639">
        <v>10</v>
      </c>
      <c r="F130" s="640">
        <v>124</v>
      </c>
      <c r="G130" s="641">
        <f t="shared" si="5"/>
        <v>1240</v>
      </c>
      <c r="H130" s="636" t="s">
        <v>26</v>
      </c>
      <c r="I130" s="637" t="s">
        <v>26</v>
      </c>
      <c r="J130" s="638">
        <v>0</v>
      </c>
      <c r="K130" s="635" t="s">
        <v>26</v>
      </c>
      <c r="L130" s="637" t="s">
        <v>26</v>
      </c>
      <c r="M130" s="774">
        <v>0</v>
      </c>
      <c r="N130" s="543"/>
    </row>
    <row r="131" spans="2:14">
      <c r="B131" s="767" t="s">
        <v>798</v>
      </c>
      <c r="C131" s="621" t="s">
        <v>708</v>
      </c>
      <c r="D131" s="639" t="s">
        <v>472</v>
      </c>
      <c r="E131" s="639">
        <v>1</v>
      </c>
      <c r="F131" s="640">
        <v>1060</v>
      </c>
      <c r="G131" s="641">
        <f t="shared" si="5"/>
        <v>1060</v>
      </c>
      <c r="H131" s="636" t="s">
        <v>26</v>
      </c>
      <c r="I131" s="637" t="s">
        <v>26</v>
      </c>
      <c r="J131" s="638">
        <v>0</v>
      </c>
      <c r="K131" s="635" t="s">
        <v>26</v>
      </c>
      <c r="L131" s="637" t="s">
        <v>26</v>
      </c>
      <c r="M131" s="774">
        <v>0</v>
      </c>
      <c r="N131" s="543"/>
    </row>
    <row r="132" spans="2:14" ht="25.5">
      <c r="B132" s="767" t="s">
        <v>799</v>
      </c>
      <c r="C132" s="621" t="s">
        <v>709</v>
      </c>
      <c r="D132" s="639" t="s">
        <v>472</v>
      </c>
      <c r="E132" s="639">
        <v>3</v>
      </c>
      <c r="F132" s="640">
        <v>89</v>
      </c>
      <c r="G132" s="641">
        <f t="shared" si="5"/>
        <v>267</v>
      </c>
      <c r="H132" s="636" t="s">
        <v>26</v>
      </c>
      <c r="I132" s="637" t="s">
        <v>26</v>
      </c>
      <c r="J132" s="638">
        <v>0</v>
      </c>
      <c r="K132" s="635" t="s">
        <v>26</v>
      </c>
      <c r="L132" s="637" t="s">
        <v>26</v>
      </c>
      <c r="M132" s="774">
        <v>0</v>
      </c>
      <c r="N132" s="543"/>
    </row>
    <row r="133" spans="2:14">
      <c r="B133" s="767" t="s">
        <v>800</v>
      </c>
      <c r="C133" s="621" t="s">
        <v>710</v>
      </c>
      <c r="D133" s="639" t="s">
        <v>472</v>
      </c>
      <c r="E133" s="639">
        <v>10</v>
      </c>
      <c r="F133" s="640">
        <v>189</v>
      </c>
      <c r="G133" s="641">
        <f t="shared" si="5"/>
        <v>1890</v>
      </c>
      <c r="H133" s="636" t="s">
        <v>26</v>
      </c>
      <c r="I133" s="637" t="s">
        <v>26</v>
      </c>
      <c r="J133" s="638">
        <v>0</v>
      </c>
      <c r="K133" s="635" t="s">
        <v>26</v>
      </c>
      <c r="L133" s="637" t="s">
        <v>26</v>
      </c>
      <c r="M133" s="774">
        <v>0</v>
      </c>
      <c r="N133" s="543"/>
    </row>
    <row r="134" spans="2:14">
      <c r="B134" s="767" t="s">
        <v>801</v>
      </c>
      <c r="C134" s="621" t="s">
        <v>711</v>
      </c>
      <c r="D134" s="639" t="s">
        <v>472</v>
      </c>
      <c r="E134" s="639">
        <v>1</v>
      </c>
      <c r="F134" s="640">
        <v>509</v>
      </c>
      <c r="G134" s="641">
        <f t="shared" si="5"/>
        <v>509</v>
      </c>
      <c r="H134" s="636" t="s">
        <v>26</v>
      </c>
      <c r="I134" s="637" t="s">
        <v>26</v>
      </c>
      <c r="J134" s="638">
        <v>0</v>
      </c>
      <c r="K134" s="635" t="s">
        <v>26</v>
      </c>
      <c r="L134" s="637" t="s">
        <v>26</v>
      </c>
      <c r="M134" s="774">
        <v>0</v>
      </c>
      <c r="N134" s="543"/>
    </row>
    <row r="135" spans="2:14" ht="25.5">
      <c r="B135" s="767" t="s">
        <v>802</v>
      </c>
      <c r="C135" s="621" t="s">
        <v>712</v>
      </c>
      <c r="D135" s="639" t="s">
        <v>472</v>
      </c>
      <c r="E135" s="639">
        <v>4</v>
      </c>
      <c r="F135" s="640">
        <v>695</v>
      </c>
      <c r="G135" s="641">
        <f t="shared" si="5"/>
        <v>2780</v>
      </c>
      <c r="H135" s="636" t="s">
        <v>26</v>
      </c>
      <c r="I135" s="637" t="s">
        <v>26</v>
      </c>
      <c r="J135" s="638">
        <v>0</v>
      </c>
      <c r="K135" s="635" t="s">
        <v>26</v>
      </c>
      <c r="L135" s="637" t="s">
        <v>26</v>
      </c>
      <c r="M135" s="774">
        <v>0</v>
      </c>
      <c r="N135" s="543"/>
    </row>
    <row r="136" spans="2:14">
      <c r="B136" s="767" t="s">
        <v>803</v>
      </c>
      <c r="C136" s="621" t="s">
        <v>713</v>
      </c>
      <c r="D136" s="639" t="s">
        <v>472</v>
      </c>
      <c r="E136" s="639">
        <v>3</v>
      </c>
      <c r="F136" s="640">
        <v>109</v>
      </c>
      <c r="G136" s="641">
        <f t="shared" si="5"/>
        <v>327</v>
      </c>
      <c r="H136" s="636" t="s">
        <v>26</v>
      </c>
      <c r="I136" s="637" t="s">
        <v>26</v>
      </c>
      <c r="J136" s="638">
        <v>0</v>
      </c>
      <c r="K136" s="635" t="s">
        <v>26</v>
      </c>
      <c r="L136" s="637" t="s">
        <v>26</v>
      </c>
      <c r="M136" s="774">
        <v>0</v>
      </c>
      <c r="N136" s="543"/>
    </row>
    <row r="137" spans="2:14" ht="25.5">
      <c r="B137" s="767" t="s">
        <v>804</v>
      </c>
      <c r="C137" s="621" t="s">
        <v>714</v>
      </c>
      <c r="D137" s="639" t="s">
        <v>472</v>
      </c>
      <c r="E137" s="639">
        <v>1</v>
      </c>
      <c r="F137" s="640">
        <v>579</v>
      </c>
      <c r="G137" s="641">
        <f t="shared" si="5"/>
        <v>579</v>
      </c>
      <c r="H137" s="636" t="s">
        <v>26</v>
      </c>
      <c r="I137" s="637" t="s">
        <v>26</v>
      </c>
      <c r="J137" s="638">
        <v>0</v>
      </c>
      <c r="K137" s="635" t="s">
        <v>26</v>
      </c>
      <c r="L137" s="637" t="s">
        <v>26</v>
      </c>
      <c r="M137" s="774">
        <v>0</v>
      </c>
      <c r="N137" s="543"/>
    </row>
    <row r="138" spans="2:14" ht="25.5">
      <c r="B138" s="767" t="s">
        <v>805</v>
      </c>
      <c r="C138" s="621" t="s">
        <v>715</v>
      </c>
      <c r="D138" s="639" t="s">
        <v>472</v>
      </c>
      <c r="E138" s="639">
        <v>3</v>
      </c>
      <c r="F138" s="640">
        <v>119</v>
      </c>
      <c r="G138" s="641">
        <f t="shared" si="5"/>
        <v>357</v>
      </c>
      <c r="H138" s="636" t="s">
        <v>26</v>
      </c>
      <c r="I138" s="637" t="s">
        <v>26</v>
      </c>
      <c r="J138" s="638">
        <v>0</v>
      </c>
      <c r="K138" s="635" t="s">
        <v>26</v>
      </c>
      <c r="L138" s="637" t="s">
        <v>26</v>
      </c>
      <c r="M138" s="774">
        <v>0</v>
      </c>
      <c r="N138" s="543"/>
    </row>
    <row r="139" spans="2:14">
      <c r="B139" s="767" t="s">
        <v>806</v>
      </c>
      <c r="C139" s="621" t="s">
        <v>716</v>
      </c>
      <c r="D139" s="639" t="s">
        <v>472</v>
      </c>
      <c r="E139" s="639">
        <v>1</v>
      </c>
      <c r="F139" s="640">
        <v>305</v>
      </c>
      <c r="G139" s="641">
        <f t="shared" si="5"/>
        <v>305</v>
      </c>
      <c r="H139" s="636" t="s">
        <v>26</v>
      </c>
      <c r="I139" s="637" t="s">
        <v>26</v>
      </c>
      <c r="J139" s="638">
        <v>0</v>
      </c>
      <c r="K139" s="635" t="s">
        <v>26</v>
      </c>
      <c r="L139" s="637" t="s">
        <v>26</v>
      </c>
      <c r="M139" s="774">
        <v>0</v>
      </c>
      <c r="N139" s="543"/>
    </row>
    <row r="140" spans="2:14">
      <c r="B140" s="767" t="s">
        <v>807</v>
      </c>
      <c r="C140" s="621" t="s">
        <v>717</v>
      </c>
      <c r="D140" s="639" t="s">
        <v>472</v>
      </c>
      <c r="E140" s="639">
        <v>1</v>
      </c>
      <c r="F140" s="640">
        <v>305</v>
      </c>
      <c r="G140" s="641">
        <f t="shared" si="5"/>
        <v>305</v>
      </c>
      <c r="H140" s="636" t="s">
        <v>26</v>
      </c>
      <c r="I140" s="637" t="s">
        <v>26</v>
      </c>
      <c r="J140" s="638">
        <v>0</v>
      </c>
      <c r="K140" s="635" t="s">
        <v>26</v>
      </c>
      <c r="L140" s="637" t="s">
        <v>26</v>
      </c>
      <c r="M140" s="774">
        <v>0</v>
      </c>
      <c r="N140" s="543"/>
    </row>
    <row r="141" spans="2:14">
      <c r="B141" s="767" t="s">
        <v>808</v>
      </c>
      <c r="C141" s="621" t="s">
        <v>718</v>
      </c>
      <c r="D141" s="639" t="s">
        <v>472</v>
      </c>
      <c r="E141" s="639">
        <v>1</v>
      </c>
      <c r="F141" s="640">
        <v>305</v>
      </c>
      <c r="G141" s="641">
        <f t="shared" si="5"/>
        <v>305</v>
      </c>
      <c r="H141" s="636" t="s">
        <v>26</v>
      </c>
      <c r="I141" s="637" t="s">
        <v>26</v>
      </c>
      <c r="J141" s="638">
        <v>0</v>
      </c>
      <c r="K141" s="635" t="s">
        <v>26</v>
      </c>
      <c r="L141" s="637" t="s">
        <v>26</v>
      </c>
      <c r="M141" s="774">
        <v>0</v>
      </c>
      <c r="N141" s="543"/>
    </row>
    <row r="142" spans="2:14" ht="25.5">
      <c r="B142" s="767" t="s">
        <v>809</v>
      </c>
      <c r="C142" s="621" t="s">
        <v>719</v>
      </c>
      <c r="D142" s="639" t="s">
        <v>472</v>
      </c>
      <c r="E142" s="639">
        <v>1</v>
      </c>
      <c r="F142" s="640">
        <v>305</v>
      </c>
      <c r="G142" s="641">
        <f t="shared" si="5"/>
        <v>305</v>
      </c>
      <c r="H142" s="636" t="s">
        <v>26</v>
      </c>
      <c r="I142" s="637" t="s">
        <v>26</v>
      </c>
      <c r="J142" s="638">
        <v>0</v>
      </c>
      <c r="K142" s="635" t="s">
        <v>26</v>
      </c>
      <c r="L142" s="637" t="s">
        <v>26</v>
      </c>
      <c r="M142" s="774">
        <v>0</v>
      </c>
      <c r="N142" s="543"/>
    </row>
    <row r="143" spans="2:14">
      <c r="B143" s="767" t="s">
        <v>810</v>
      </c>
      <c r="C143" s="621" t="s">
        <v>720</v>
      </c>
      <c r="D143" s="639" t="s">
        <v>472</v>
      </c>
      <c r="E143" s="639">
        <v>2</v>
      </c>
      <c r="F143" s="640">
        <v>49</v>
      </c>
      <c r="G143" s="641">
        <f t="shared" si="5"/>
        <v>98</v>
      </c>
      <c r="H143" s="636" t="s">
        <v>26</v>
      </c>
      <c r="I143" s="637" t="s">
        <v>26</v>
      </c>
      <c r="J143" s="638">
        <v>0</v>
      </c>
      <c r="K143" s="635" t="s">
        <v>26</v>
      </c>
      <c r="L143" s="637" t="s">
        <v>26</v>
      </c>
      <c r="M143" s="774">
        <v>0</v>
      </c>
      <c r="N143" s="543"/>
    </row>
    <row r="144" spans="2:14">
      <c r="B144" s="767" t="s">
        <v>811</v>
      </c>
      <c r="C144" s="621" t="s">
        <v>721</v>
      </c>
      <c r="D144" s="639" t="s">
        <v>743</v>
      </c>
      <c r="E144" s="639">
        <v>27</v>
      </c>
      <c r="F144" s="640">
        <v>310</v>
      </c>
      <c r="G144" s="641">
        <f t="shared" si="5"/>
        <v>8370</v>
      </c>
      <c r="H144" s="636" t="s">
        <v>26</v>
      </c>
      <c r="I144" s="637" t="s">
        <v>26</v>
      </c>
      <c r="J144" s="638">
        <v>0</v>
      </c>
      <c r="K144" s="635" t="s">
        <v>26</v>
      </c>
      <c r="L144" s="637" t="s">
        <v>26</v>
      </c>
      <c r="M144" s="774">
        <v>0</v>
      </c>
      <c r="N144" s="543"/>
    </row>
    <row r="145" spans="2:14">
      <c r="B145" s="767" t="s">
        <v>812</v>
      </c>
      <c r="C145" s="621" t="s">
        <v>722</v>
      </c>
      <c r="D145" s="639" t="s">
        <v>744</v>
      </c>
      <c r="E145" s="639">
        <v>25</v>
      </c>
      <c r="F145" s="640">
        <v>30</v>
      </c>
      <c r="G145" s="641">
        <f t="shared" si="5"/>
        <v>750</v>
      </c>
      <c r="H145" s="636" t="s">
        <v>26</v>
      </c>
      <c r="I145" s="637" t="s">
        <v>26</v>
      </c>
      <c r="J145" s="638">
        <v>0</v>
      </c>
      <c r="K145" s="635" t="s">
        <v>26</v>
      </c>
      <c r="L145" s="637" t="s">
        <v>26</v>
      </c>
      <c r="M145" s="774">
        <v>0</v>
      </c>
      <c r="N145" s="543"/>
    </row>
    <row r="146" spans="2:14">
      <c r="B146" s="767" t="s">
        <v>813</v>
      </c>
      <c r="C146" s="621" t="s">
        <v>723</v>
      </c>
      <c r="D146" s="639" t="s">
        <v>743</v>
      </c>
      <c r="E146" s="639">
        <v>11</v>
      </c>
      <c r="F146" s="640">
        <v>900</v>
      </c>
      <c r="G146" s="641">
        <f t="shared" si="5"/>
        <v>9900</v>
      </c>
      <c r="H146" s="636" t="s">
        <v>26</v>
      </c>
      <c r="I146" s="637" t="s">
        <v>26</v>
      </c>
      <c r="J146" s="638">
        <v>0</v>
      </c>
      <c r="K146" s="635" t="s">
        <v>26</v>
      </c>
      <c r="L146" s="637" t="s">
        <v>26</v>
      </c>
      <c r="M146" s="774">
        <v>0</v>
      </c>
      <c r="N146" s="543"/>
    </row>
    <row r="147" spans="2:14">
      <c r="B147" s="767" t="s">
        <v>814</v>
      </c>
      <c r="C147" s="621" t="s">
        <v>724</v>
      </c>
      <c r="D147" s="639" t="s">
        <v>743</v>
      </c>
      <c r="E147" s="639">
        <v>2</v>
      </c>
      <c r="F147" s="640">
        <v>300</v>
      </c>
      <c r="G147" s="641">
        <f t="shared" si="5"/>
        <v>600</v>
      </c>
      <c r="H147" s="636" t="s">
        <v>26</v>
      </c>
      <c r="I147" s="637" t="s">
        <v>26</v>
      </c>
      <c r="J147" s="638">
        <v>0</v>
      </c>
      <c r="K147" s="635" t="s">
        <v>26</v>
      </c>
      <c r="L147" s="637" t="s">
        <v>26</v>
      </c>
      <c r="M147" s="774">
        <v>0</v>
      </c>
      <c r="N147" s="543"/>
    </row>
    <row r="148" spans="2:14">
      <c r="B148" s="767" t="s">
        <v>815</v>
      </c>
      <c r="C148" s="621" t="s">
        <v>725</v>
      </c>
      <c r="D148" s="639" t="s">
        <v>472</v>
      </c>
      <c r="E148" s="639">
        <v>25</v>
      </c>
      <c r="F148" s="640">
        <v>20</v>
      </c>
      <c r="G148" s="641">
        <f t="shared" si="5"/>
        <v>500</v>
      </c>
      <c r="H148" s="636" t="s">
        <v>26</v>
      </c>
      <c r="I148" s="637" t="s">
        <v>26</v>
      </c>
      <c r="J148" s="638">
        <v>0</v>
      </c>
      <c r="K148" s="635" t="s">
        <v>26</v>
      </c>
      <c r="L148" s="637" t="s">
        <v>26</v>
      </c>
      <c r="M148" s="774">
        <v>0</v>
      </c>
      <c r="N148" s="543"/>
    </row>
    <row r="149" spans="2:14">
      <c r="B149" s="767" t="s">
        <v>816</v>
      </c>
      <c r="C149" s="621" t="s">
        <v>726</v>
      </c>
      <c r="D149" s="639" t="s">
        <v>745</v>
      </c>
      <c r="E149" s="639">
        <v>8</v>
      </c>
      <c r="F149" s="640">
        <v>45</v>
      </c>
      <c r="G149" s="641">
        <f t="shared" si="5"/>
        <v>360</v>
      </c>
      <c r="H149" s="636" t="s">
        <v>26</v>
      </c>
      <c r="I149" s="637" t="s">
        <v>26</v>
      </c>
      <c r="J149" s="638">
        <v>0</v>
      </c>
      <c r="K149" s="635" t="s">
        <v>26</v>
      </c>
      <c r="L149" s="637" t="s">
        <v>26</v>
      </c>
      <c r="M149" s="774">
        <v>0</v>
      </c>
      <c r="N149" s="543"/>
    </row>
    <row r="150" spans="2:14">
      <c r="B150" s="767" t="s">
        <v>817</v>
      </c>
      <c r="C150" s="621" t="s">
        <v>727</v>
      </c>
      <c r="D150" s="639" t="s">
        <v>743</v>
      </c>
      <c r="E150" s="639">
        <v>3</v>
      </c>
      <c r="F150" s="640">
        <v>25</v>
      </c>
      <c r="G150" s="641">
        <f t="shared" si="5"/>
        <v>75</v>
      </c>
      <c r="H150" s="636" t="s">
        <v>26</v>
      </c>
      <c r="I150" s="637" t="s">
        <v>26</v>
      </c>
      <c r="J150" s="638">
        <v>0</v>
      </c>
      <c r="K150" s="635" t="s">
        <v>26</v>
      </c>
      <c r="L150" s="637" t="s">
        <v>26</v>
      </c>
      <c r="M150" s="774">
        <v>0</v>
      </c>
      <c r="N150" s="543"/>
    </row>
    <row r="151" spans="2:14">
      <c r="B151" s="767" t="s">
        <v>818</v>
      </c>
      <c r="C151" s="621" t="s">
        <v>728</v>
      </c>
      <c r="D151" s="639" t="s">
        <v>743</v>
      </c>
      <c r="E151" s="639">
        <v>1</v>
      </c>
      <c r="F151" s="640">
        <v>350</v>
      </c>
      <c r="G151" s="641">
        <f t="shared" si="5"/>
        <v>350</v>
      </c>
      <c r="H151" s="636" t="s">
        <v>26</v>
      </c>
      <c r="I151" s="637" t="s">
        <v>26</v>
      </c>
      <c r="J151" s="638">
        <v>0</v>
      </c>
      <c r="K151" s="635" t="s">
        <v>26</v>
      </c>
      <c r="L151" s="637" t="s">
        <v>26</v>
      </c>
      <c r="M151" s="774">
        <v>0</v>
      </c>
      <c r="N151" s="543"/>
    </row>
    <row r="152" spans="2:14">
      <c r="B152" s="767" t="s">
        <v>819</v>
      </c>
      <c r="C152" s="621" t="s">
        <v>729</v>
      </c>
      <c r="D152" s="639" t="s">
        <v>472</v>
      </c>
      <c r="E152" s="639">
        <v>3</v>
      </c>
      <c r="F152" s="640">
        <v>25</v>
      </c>
      <c r="G152" s="641">
        <f t="shared" si="5"/>
        <v>75</v>
      </c>
      <c r="H152" s="636" t="s">
        <v>26</v>
      </c>
      <c r="I152" s="637" t="s">
        <v>26</v>
      </c>
      <c r="J152" s="638">
        <v>0</v>
      </c>
      <c r="K152" s="635" t="s">
        <v>26</v>
      </c>
      <c r="L152" s="637" t="s">
        <v>26</v>
      </c>
      <c r="M152" s="774">
        <v>0</v>
      </c>
      <c r="N152" s="543"/>
    </row>
    <row r="153" spans="2:14">
      <c r="B153" s="767" t="s">
        <v>820</v>
      </c>
      <c r="C153" s="621" t="s">
        <v>730</v>
      </c>
      <c r="D153" s="639" t="s">
        <v>472</v>
      </c>
      <c r="E153" s="639">
        <v>2</v>
      </c>
      <c r="F153" s="640">
        <v>50</v>
      </c>
      <c r="G153" s="641">
        <f t="shared" si="5"/>
        <v>100</v>
      </c>
      <c r="H153" s="636" t="s">
        <v>26</v>
      </c>
      <c r="I153" s="637" t="s">
        <v>26</v>
      </c>
      <c r="J153" s="638">
        <v>0</v>
      </c>
      <c r="K153" s="635" t="s">
        <v>26</v>
      </c>
      <c r="L153" s="637" t="s">
        <v>26</v>
      </c>
      <c r="M153" s="774">
        <v>0</v>
      </c>
      <c r="N153" s="543"/>
    </row>
    <row r="154" spans="2:14">
      <c r="B154" s="767" t="s">
        <v>821</v>
      </c>
      <c r="C154" s="621" t="s">
        <v>731</v>
      </c>
      <c r="D154" s="639" t="s">
        <v>743</v>
      </c>
      <c r="E154" s="639">
        <v>12</v>
      </c>
      <c r="F154" s="640">
        <v>270</v>
      </c>
      <c r="G154" s="641">
        <f t="shared" si="5"/>
        <v>3240</v>
      </c>
      <c r="H154" s="636" t="s">
        <v>26</v>
      </c>
      <c r="I154" s="637" t="s">
        <v>26</v>
      </c>
      <c r="J154" s="638">
        <v>0</v>
      </c>
      <c r="K154" s="635" t="s">
        <v>26</v>
      </c>
      <c r="L154" s="637" t="s">
        <v>26</v>
      </c>
      <c r="M154" s="774">
        <v>0</v>
      </c>
      <c r="N154" s="543"/>
    </row>
    <row r="155" spans="2:14">
      <c r="B155" s="767" t="s">
        <v>822</v>
      </c>
      <c r="C155" s="621" t="s">
        <v>732</v>
      </c>
      <c r="D155" s="639" t="s">
        <v>743</v>
      </c>
      <c r="E155" s="639">
        <v>1</v>
      </c>
      <c r="F155" s="640">
        <v>65.03</v>
      </c>
      <c r="G155" s="641">
        <f t="shared" si="5"/>
        <v>65.03</v>
      </c>
      <c r="H155" s="636" t="s">
        <v>26</v>
      </c>
      <c r="I155" s="637" t="s">
        <v>26</v>
      </c>
      <c r="J155" s="638">
        <v>0</v>
      </c>
      <c r="K155" s="635" t="s">
        <v>26</v>
      </c>
      <c r="L155" s="637" t="s">
        <v>26</v>
      </c>
      <c r="M155" s="774">
        <v>0</v>
      </c>
      <c r="N155" s="543"/>
    </row>
    <row r="156" spans="2:14">
      <c r="B156" s="767" t="s">
        <v>823</v>
      </c>
      <c r="C156" s="621" t="s">
        <v>733</v>
      </c>
      <c r="D156" s="639" t="s">
        <v>743</v>
      </c>
      <c r="E156" s="639">
        <v>9</v>
      </c>
      <c r="F156" s="640">
        <v>400</v>
      </c>
      <c r="G156" s="641">
        <f t="shared" si="5"/>
        <v>3600</v>
      </c>
      <c r="H156" s="636" t="s">
        <v>26</v>
      </c>
      <c r="I156" s="637" t="s">
        <v>26</v>
      </c>
      <c r="J156" s="638">
        <v>0</v>
      </c>
      <c r="K156" s="635" t="s">
        <v>26</v>
      </c>
      <c r="L156" s="637" t="s">
        <v>26</v>
      </c>
      <c r="M156" s="774">
        <v>0</v>
      </c>
      <c r="N156" s="543"/>
    </row>
    <row r="157" spans="2:14">
      <c r="B157" s="767" t="s">
        <v>824</v>
      </c>
      <c r="C157" s="621" t="s">
        <v>734</v>
      </c>
      <c r="D157" s="639" t="s">
        <v>472</v>
      </c>
      <c r="E157" s="639">
        <v>1</v>
      </c>
      <c r="F157" s="640">
        <v>700</v>
      </c>
      <c r="G157" s="641">
        <f t="shared" si="5"/>
        <v>700</v>
      </c>
      <c r="H157" s="636" t="s">
        <v>26</v>
      </c>
      <c r="I157" s="637" t="s">
        <v>26</v>
      </c>
      <c r="J157" s="638">
        <v>0</v>
      </c>
      <c r="K157" s="635" t="s">
        <v>26</v>
      </c>
      <c r="L157" s="637" t="s">
        <v>26</v>
      </c>
      <c r="M157" s="774">
        <v>0</v>
      </c>
      <c r="N157" s="543"/>
    </row>
    <row r="158" spans="2:14">
      <c r="B158" s="767" t="s">
        <v>825</v>
      </c>
      <c r="C158" s="621" t="s">
        <v>735</v>
      </c>
      <c r="D158" s="639" t="s">
        <v>459</v>
      </c>
      <c r="E158" s="639">
        <v>1</v>
      </c>
      <c r="F158" s="640">
        <v>3375</v>
      </c>
      <c r="G158" s="641">
        <f t="shared" si="5"/>
        <v>3375</v>
      </c>
      <c r="H158" s="636" t="s">
        <v>26</v>
      </c>
      <c r="I158" s="637" t="s">
        <v>26</v>
      </c>
      <c r="J158" s="638">
        <v>0</v>
      </c>
      <c r="K158" s="635" t="s">
        <v>26</v>
      </c>
      <c r="L158" s="637" t="s">
        <v>26</v>
      </c>
      <c r="M158" s="774">
        <v>0</v>
      </c>
      <c r="N158" s="543"/>
    </row>
    <row r="159" spans="2:14">
      <c r="B159" s="767" t="s">
        <v>826</v>
      </c>
      <c r="C159" s="621" t="s">
        <v>736</v>
      </c>
      <c r="D159" s="639" t="s">
        <v>472</v>
      </c>
      <c r="E159" s="639">
        <v>4</v>
      </c>
      <c r="F159" s="640">
        <v>690</v>
      </c>
      <c r="G159" s="641">
        <f t="shared" si="5"/>
        <v>2760</v>
      </c>
      <c r="H159" s="636" t="s">
        <v>26</v>
      </c>
      <c r="I159" s="637" t="s">
        <v>26</v>
      </c>
      <c r="J159" s="638">
        <v>0</v>
      </c>
      <c r="K159" s="635" t="s">
        <v>26</v>
      </c>
      <c r="L159" s="637" t="s">
        <v>26</v>
      </c>
      <c r="M159" s="774">
        <v>0</v>
      </c>
      <c r="N159" s="543"/>
    </row>
    <row r="160" spans="2:14">
      <c r="B160" s="767" t="s">
        <v>827</v>
      </c>
      <c r="C160" s="621" t="s">
        <v>737</v>
      </c>
      <c r="D160" s="639" t="s">
        <v>472</v>
      </c>
      <c r="E160" s="639">
        <v>12</v>
      </c>
      <c r="F160" s="640">
        <v>17</v>
      </c>
      <c r="G160" s="641">
        <f t="shared" si="5"/>
        <v>204</v>
      </c>
      <c r="H160" s="636" t="s">
        <v>26</v>
      </c>
      <c r="I160" s="637" t="s">
        <v>26</v>
      </c>
      <c r="J160" s="638">
        <v>0</v>
      </c>
      <c r="K160" s="635" t="s">
        <v>26</v>
      </c>
      <c r="L160" s="637" t="s">
        <v>26</v>
      </c>
      <c r="M160" s="774">
        <v>0</v>
      </c>
      <c r="N160" s="543"/>
    </row>
    <row r="161" spans="2:14" ht="25.5">
      <c r="B161" s="767" t="s">
        <v>828</v>
      </c>
      <c r="C161" s="621" t="s">
        <v>738</v>
      </c>
      <c r="D161" s="639" t="s">
        <v>472</v>
      </c>
      <c r="E161" s="639">
        <v>50</v>
      </c>
      <c r="F161" s="640">
        <v>84</v>
      </c>
      <c r="G161" s="641">
        <f t="shared" si="5"/>
        <v>4200</v>
      </c>
      <c r="H161" s="636" t="s">
        <v>26</v>
      </c>
      <c r="I161" s="637" t="s">
        <v>26</v>
      </c>
      <c r="J161" s="638">
        <v>0</v>
      </c>
      <c r="K161" s="635" t="s">
        <v>26</v>
      </c>
      <c r="L161" s="637" t="s">
        <v>26</v>
      </c>
      <c r="M161" s="774">
        <v>0</v>
      </c>
      <c r="N161" s="543"/>
    </row>
    <row r="162" spans="2:14" ht="26.25" thickBot="1">
      <c r="B162" s="769" t="s">
        <v>829</v>
      </c>
      <c r="C162" s="662" t="s">
        <v>739</v>
      </c>
      <c r="D162" s="663" t="s">
        <v>472</v>
      </c>
      <c r="E162" s="663">
        <v>50</v>
      </c>
      <c r="F162" s="664">
        <v>40</v>
      </c>
      <c r="G162" s="665">
        <f>E162*F162</f>
        <v>2000</v>
      </c>
      <c r="H162" s="695" t="s">
        <v>26</v>
      </c>
      <c r="I162" s="696" t="s">
        <v>26</v>
      </c>
      <c r="J162" s="697">
        <v>0</v>
      </c>
      <c r="K162" s="698" t="s">
        <v>26</v>
      </c>
      <c r="L162" s="696" t="s">
        <v>26</v>
      </c>
      <c r="M162" s="775">
        <v>0</v>
      </c>
      <c r="N162" s="543"/>
    </row>
    <row r="163" spans="2:14" ht="39" thickBot="1">
      <c r="B163" s="653" t="s">
        <v>830</v>
      </c>
      <c r="C163" s="654" t="s">
        <v>861</v>
      </c>
      <c r="D163" s="655" t="s">
        <v>26</v>
      </c>
      <c r="E163" s="655" t="s">
        <v>26</v>
      </c>
      <c r="F163" s="656" t="s">
        <v>26</v>
      </c>
      <c r="G163" s="657">
        <f>SUM(G164:H191)</f>
        <v>49840.22</v>
      </c>
      <c r="H163" s="658" t="s">
        <v>26</v>
      </c>
      <c r="I163" s="659" t="s">
        <v>26</v>
      </c>
      <c r="J163" s="660">
        <v>0</v>
      </c>
      <c r="K163" s="655" t="s">
        <v>26</v>
      </c>
      <c r="L163" s="659" t="s">
        <v>26</v>
      </c>
      <c r="M163" s="661">
        <v>0</v>
      </c>
      <c r="N163" s="543"/>
    </row>
    <row r="164" spans="2:14">
      <c r="B164" s="765" t="s">
        <v>831</v>
      </c>
      <c r="C164" s="646" t="s">
        <v>746</v>
      </c>
      <c r="D164" s="647" t="s">
        <v>472</v>
      </c>
      <c r="E164" s="647">
        <v>1</v>
      </c>
      <c r="F164" s="648">
        <v>380</v>
      </c>
      <c r="G164" s="649">
        <f t="shared" si="5"/>
        <v>380</v>
      </c>
      <c r="H164" s="674" t="s">
        <v>26</v>
      </c>
      <c r="I164" s="675" t="s">
        <v>26</v>
      </c>
      <c r="J164" s="676">
        <v>0</v>
      </c>
      <c r="K164" s="677" t="s">
        <v>26</v>
      </c>
      <c r="L164" s="675" t="s">
        <v>26</v>
      </c>
      <c r="M164" s="773">
        <v>0</v>
      </c>
      <c r="N164" s="543"/>
    </row>
    <row r="165" spans="2:14">
      <c r="B165" s="767" t="s">
        <v>832</v>
      </c>
      <c r="C165" s="621" t="s">
        <v>747</v>
      </c>
      <c r="D165" s="639" t="s">
        <v>472</v>
      </c>
      <c r="E165" s="639">
        <v>1</v>
      </c>
      <c r="F165" s="640">
        <v>2500</v>
      </c>
      <c r="G165" s="641">
        <f t="shared" si="5"/>
        <v>2500</v>
      </c>
      <c r="H165" s="636" t="s">
        <v>26</v>
      </c>
      <c r="I165" s="637" t="s">
        <v>26</v>
      </c>
      <c r="J165" s="638">
        <v>0</v>
      </c>
      <c r="K165" s="635" t="s">
        <v>26</v>
      </c>
      <c r="L165" s="637" t="s">
        <v>26</v>
      </c>
      <c r="M165" s="774">
        <v>0</v>
      </c>
      <c r="N165" s="543"/>
    </row>
    <row r="166" spans="2:14" ht="25.5">
      <c r="B166" s="767" t="s">
        <v>833</v>
      </c>
      <c r="C166" s="621" t="s">
        <v>748</v>
      </c>
      <c r="D166" s="639" t="s">
        <v>472</v>
      </c>
      <c r="E166" s="639">
        <v>2</v>
      </c>
      <c r="F166" s="640">
        <v>250</v>
      </c>
      <c r="G166" s="641">
        <f t="shared" si="5"/>
        <v>500</v>
      </c>
      <c r="H166" s="636" t="s">
        <v>26</v>
      </c>
      <c r="I166" s="637" t="s">
        <v>26</v>
      </c>
      <c r="J166" s="638">
        <v>0</v>
      </c>
      <c r="K166" s="635" t="s">
        <v>26</v>
      </c>
      <c r="L166" s="637" t="s">
        <v>26</v>
      </c>
      <c r="M166" s="774">
        <v>0</v>
      </c>
      <c r="N166" s="543"/>
    </row>
    <row r="167" spans="2:14" ht="25.5">
      <c r="B167" s="767" t="s">
        <v>835</v>
      </c>
      <c r="C167" s="621" t="s">
        <v>749</v>
      </c>
      <c r="D167" s="639" t="s">
        <v>472</v>
      </c>
      <c r="E167" s="639">
        <v>1</v>
      </c>
      <c r="F167" s="640">
        <v>250</v>
      </c>
      <c r="G167" s="641">
        <f t="shared" si="5"/>
        <v>250</v>
      </c>
      <c r="H167" s="636" t="s">
        <v>26</v>
      </c>
      <c r="I167" s="637" t="s">
        <v>26</v>
      </c>
      <c r="J167" s="638">
        <v>0</v>
      </c>
      <c r="K167" s="635" t="s">
        <v>26</v>
      </c>
      <c r="L167" s="637" t="s">
        <v>26</v>
      </c>
      <c r="M167" s="774">
        <v>0</v>
      </c>
      <c r="N167" s="543"/>
    </row>
    <row r="168" spans="2:14" ht="25.5">
      <c r="B168" s="767" t="s">
        <v>836</v>
      </c>
      <c r="C168" s="621" t="s">
        <v>750</v>
      </c>
      <c r="D168" s="639" t="s">
        <v>472</v>
      </c>
      <c r="E168" s="639">
        <v>2</v>
      </c>
      <c r="F168" s="640">
        <v>250</v>
      </c>
      <c r="G168" s="641">
        <f t="shared" si="5"/>
        <v>500</v>
      </c>
      <c r="H168" s="636" t="s">
        <v>26</v>
      </c>
      <c r="I168" s="637" t="s">
        <v>26</v>
      </c>
      <c r="J168" s="638">
        <v>0</v>
      </c>
      <c r="K168" s="635" t="s">
        <v>26</v>
      </c>
      <c r="L168" s="637" t="s">
        <v>26</v>
      </c>
      <c r="M168" s="774">
        <v>0</v>
      </c>
      <c r="N168" s="543"/>
    </row>
    <row r="169" spans="2:14" ht="25.5">
      <c r="B169" s="767" t="s">
        <v>837</v>
      </c>
      <c r="C169" s="621" t="s">
        <v>751</v>
      </c>
      <c r="D169" s="639" t="s">
        <v>472</v>
      </c>
      <c r="E169" s="639">
        <v>1</v>
      </c>
      <c r="F169" s="640">
        <v>250</v>
      </c>
      <c r="G169" s="641">
        <f t="shared" si="5"/>
        <v>250</v>
      </c>
      <c r="H169" s="636" t="s">
        <v>26</v>
      </c>
      <c r="I169" s="637" t="s">
        <v>26</v>
      </c>
      <c r="J169" s="638">
        <v>0</v>
      </c>
      <c r="K169" s="635" t="s">
        <v>26</v>
      </c>
      <c r="L169" s="637" t="s">
        <v>26</v>
      </c>
      <c r="M169" s="774">
        <v>0</v>
      </c>
      <c r="N169" s="543"/>
    </row>
    <row r="170" spans="2:14" ht="25.5">
      <c r="B170" s="767" t="s">
        <v>838</v>
      </c>
      <c r="C170" s="621" t="s">
        <v>752</v>
      </c>
      <c r="D170" s="639" t="s">
        <v>472</v>
      </c>
      <c r="E170" s="639">
        <v>1</v>
      </c>
      <c r="F170" s="640">
        <v>250</v>
      </c>
      <c r="G170" s="641">
        <f t="shared" si="5"/>
        <v>250</v>
      </c>
      <c r="H170" s="636" t="s">
        <v>26</v>
      </c>
      <c r="I170" s="637" t="s">
        <v>26</v>
      </c>
      <c r="J170" s="638">
        <v>0</v>
      </c>
      <c r="K170" s="635" t="s">
        <v>26</v>
      </c>
      <c r="L170" s="637" t="s">
        <v>26</v>
      </c>
      <c r="M170" s="774">
        <v>0</v>
      </c>
      <c r="N170" s="543"/>
    </row>
    <row r="171" spans="2:14" ht="25.5">
      <c r="B171" s="767" t="s">
        <v>839</v>
      </c>
      <c r="C171" s="621" t="s">
        <v>753</v>
      </c>
      <c r="D171" s="639" t="s">
        <v>472</v>
      </c>
      <c r="E171" s="639">
        <v>1</v>
      </c>
      <c r="F171" s="640">
        <v>400</v>
      </c>
      <c r="G171" s="641">
        <f t="shared" si="5"/>
        <v>400</v>
      </c>
      <c r="H171" s="636" t="s">
        <v>26</v>
      </c>
      <c r="I171" s="637" t="s">
        <v>26</v>
      </c>
      <c r="J171" s="638">
        <v>0</v>
      </c>
      <c r="K171" s="635" t="s">
        <v>26</v>
      </c>
      <c r="L171" s="637" t="s">
        <v>26</v>
      </c>
      <c r="M171" s="774">
        <v>0</v>
      </c>
      <c r="N171" s="543"/>
    </row>
    <row r="172" spans="2:14">
      <c r="B172" s="767" t="s">
        <v>840</v>
      </c>
      <c r="C172" s="621" t="s">
        <v>754</v>
      </c>
      <c r="D172" s="639" t="s">
        <v>472</v>
      </c>
      <c r="E172" s="639">
        <v>1</v>
      </c>
      <c r="F172" s="640">
        <v>230</v>
      </c>
      <c r="G172" s="641">
        <f t="shared" si="5"/>
        <v>230</v>
      </c>
      <c r="H172" s="636" t="s">
        <v>26</v>
      </c>
      <c r="I172" s="637" t="s">
        <v>26</v>
      </c>
      <c r="J172" s="638">
        <v>0</v>
      </c>
      <c r="K172" s="635" t="s">
        <v>26</v>
      </c>
      <c r="L172" s="637" t="s">
        <v>26</v>
      </c>
      <c r="M172" s="774">
        <v>0</v>
      </c>
      <c r="N172" s="543"/>
    </row>
    <row r="173" spans="2:14">
      <c r="B173" s="767" t="s">
        <v>841</v>
      </c>
      <c r="C173" s="621" t="s">
        <v>755</v>
      </c>
      <c r="D173" s="639" t="s">
        <v>472</v>
      </c>
      <c r="E173" s="639">
        <v>1</v>
      </c>
      <c r="F173" s="640">
        <v>3200</v>
      </c>
      <c r="G173" s="641">
        <f t="shared" si="5"/>
        <v>3200</v>
      </c>
      <c r="H173" s="636" t="s">
        <v>26</v>
      </c>
      <c r="I173" s="637" t="s">
        <v>26</v>
      </c>
      <c r="J173" s="638">
        <v>0</v>
      </c>
      <c r="K173" s="635" t="s">
        <v>26</v>
      </c>
      <c r="L173" s="637" t="s">
        <v>26</v>
      </c>
      <c r="M173" s="774">
        <v>0</v>
      </c>
      <c r="N173" s="543"/>
    </row>
    <row r="174" spans="2:14" ht="25.5">
      <c r="B174" s="767" t="s">
        <v>842</v>
      </c>
      <c r="C174" s="621" t="s">
        <v>756</v>
      </c>
      <c r="D174" s="639" t="s">
        <v>472</v>
      </c>
      <c r="E174" s="639">
        <v>6</v>
      </c>
      <c r="F174" s="640">
        <v>85</v>
      </c>
      <c r="G174" s="641">
        <v>509.98</v>
      </c>
      <c r="H174" s="636" t="s">
        <v>26</v>
      </c>
      <c r="I174" s="637" t="s">
        <v>26</v>
      </c>
      <c r="J174" s="638">
        <v>0</v>
      </c>
      <c r="K174" s="635" t="s">
        <v>26</v>
      </c>
      <c r="L174" s="637" t="s">
        <v>26</v>
      </c>
      <c r="M174" s="774">
        <v>0</v>
      </c>
      <c r="N174" s="543"/>
    </row>
    <row r="175" spans="2:14">
      <c r="B175" s="767" t="s">
        <v>843</v>
      </c>
      <c r="C175" s="621" t="s">
        <v>757</v>
      </c>
      <c r="D175" s="639" t="s">
        <v>472</v>
      </c>
      <c r="E175" s="639">
        <v>60</v>
      </c>
      <c r="F175" s="640">
        <v>50</v>
      </c>
      <c r="G175" s="641">
        <v>3000.24</v>
      </c>
      <c r="H175" s="636" t="s">
        <v>26</v>
      </c>
      <c r="I175" s="637" t="s">
        <v>26</v>
      </c>
      <c r="J175" s="638">
        <v>0</v>
      </c>
      <c r="K175" s="635" t="s">
        <v>26</v>
      </c>
      <c r="L175" s="637" t="s">
        <v>26</v>
      </c>
      <c r="M175" s="774">
        <v>0</v>
      </c>
      <c r="N175" s="543"/>
    </row>
    <row r="176" spans="2:14" ht="38.25">
      <c r="B176" s="767" t="s">
        <v>844</v>
      </c>
      <c r="C176" s="621" t="s">
        <v>758</v>
      </c>
      <c r="D176" s="639" t="s">
        <v>743</v>
      </c>
      <c r="E176" s="639">
        <v>19</v>
      </c>
      <c r="F176" s="640">
        <v>350</v>
      </c>
      <c r="G176" s="641">
        <f t="shared" si="5"/>
        <v>6650</v>
      </c>
      <c r="H176" s="636" t="s">
        <v>26</v>
      </c>
      <c r="I176" s="637" t="s">
        <v>26</v>
      </c>
      <c r="J176" s="638">
        <v>0</v>
      </c>
      <c r="K176" s="635" t="s">
        <v>26</v>
      </c>
      <c r="L176" s="637" t="s">
        <v>26</v>
      </c>
      <c r="M176" s="774">
        <v>0</v>
      </c>
      <c r="N176" s="543"/>
    </row>
    <row r="177" spans="2:14" ht="38.25">
      <c r="B177" s="767" t="s">
        <v>845</v>
      </c>
      <c r="C177" s="621" t="s">
        <v>759</v>
      </c>
      <c r="D177" s="639" t="s">
        <v>743</v>
      </c>
      <c r="E177" s="639">
        <v>2</v>
      </c>
      <c r="F177" s="640">
        <v>600</v>
      </c>
      <c r="G177" s="641">
        <f t="shared" si="5"/>
        <v>1200</v>
      </c>
      <c r="H177" s="636" t="s">
        <v>26</v>
      </c>
      <c r="I177" s="637" t="s">
        <v>26</v>
      </c>
      <c r="J177" s="638">
        <v>0</v>
      </c>
      <c r="K177" s="635" t="s">
        <v>26</v>
      </c>
      <c r="L177" s="637" t="s">
        <v>26</v>
      </c>
      <c r="M177" s="774">
        <v>0</v>
      </c>
      <c r="N177" s="543"/>
    </row>
    <row r="178" spans="2:14" ht="38.25">
      <c r="B178" s="767" t="s">
        <v>846</v>
      </c>
      <c r="C178" s="621" t="s">
        <v>760</v>
      </c>
      <c r="D178" s="639" t="s">
        <v>743</v>
      </c>
      <c r="E178" s="639">
        <v>0.2</v>
      </c>
      <c r="F178" s="640">
        <v>1000</v>
      </c>
      <c r="G178" s="641">
        <f t="shared" si="5"/>
        <v>200</v>
      </c>
      <c r="H178" s="636" t="s">
        <v>26</v>
      </c>
      <c r="I178" s="637" t="s">
        <v>26</v>
      </c>
      <c r="J178" s="638">
        <v>0</v>
      </c>
      <c r="K178" s="635" t="s">
        <v>26</v>
      </c>
      <c r="L178" s="637" t="s">
        <v>26</v>
      </c>
      <c r="M178" s="774">
        <v>0</v>
      </c>
      <c r="N178" s="543"/>
    </row>
    <row r="179" spans="2:14" ht="25.5">
      <c r="B179" s="767" t="s">
        <v>847</v>
      </c>
      <c r="C179" s="621" t="s">
        <v>761</v>
      </c>
      <c r="D179" s="639" t="s">
        <v>743</v>
      </c>
      <c r="E179" s="639">
        <v>9</v>
      </c>
      <c r="F179" s="640">
        <v>380</v>
      </c>
      <c r="G179" s="641">
        <f t="shared" si="5"/>
        <v>3420</v>
      </c>
      <c r="H179" s="636" t="s">
        <v>26</v>
      </c>
      <c r="I179" s="637" t="s">
        <v>26</v>
      </c>
      <c r="J179" s="638">
        <v>0</v>
      </c>
      <c r="K179" s="635" t="s">
        <v>26</v>
      </c>
      <c r="L179" s="637" t="s">
        <v>26</v>
      </c>
      <c r="M179" s="774">
        <v>0</v>
      </c>
      <c r="N179" s="543"/>
    </row>
    <row r="180" spans="2:14">
      <c r="B180" s="767" t="s">
        <v>848</v>
      </c>
      <c r="C180" s="621" t="s">
        <v>762</v>
      </c>
      <c r="D180" s="639" t="s">
        <v>472</v>
      </c>
      <c r="E180" s="639">
        <v>2</v>
      </c>
      <c r="F180" s="640">
        <v>150</v>
      </c>
      <c r="G180" s="641">
        <f t="shared" ref="G180:G191" si="6">E180*F180</f>
        <v>300</v>
      </c>
      <c r="H180" s="636" t="s">
        <v>26</v>
      </c>
      <c r="I180" s="637" t="s">
        <v>26</v>
      </c>
      <c r="J180" s="638">
        <v>0</v>
      </c>
      <c r="K180" s="635" t="s">
        <v>26</v>
      </c>
      <c r="L180" s="637" t="s">
        <v>26</v>
      </c>
      <c r="M180" s="774">
        <v>0</v>
      </c>
      <c r="N180" s="543"/>
    </row>
    <row r="181" spans="2:14" ht="38.25">
      <c r="B181" s="767" t="s">
        <v>849</v>
      </c>
      <c r="C181" s="621" t="s">
        <v>763</v>
      </c>
      <c r="D181" s="639" t="s">
        <v>743</v>
      </c>
      <c r="E181" s="639">
        <v>0.5</v>
      </c>
      <c r="F181" s="640">
        <v>800</v>
      </c>
      <c r="G181" s="641">
        <f t="shared" si="6"/>
        <v>400</v>
      </c>
      <c r="H181" s="636" t="s">
        <v>26</v>
      </c>
      <c r="I181" s="637" t="s">
        <v>26</v>
      </c>
      <c r="J181" s="638">
        <v>0</v>
      </c>
      <c r="K181" s="635" t="s">
        <v>26</v>
      </c>
      <c r="L181" s="637" t="s">
        <v>26</v>
      </c>
      <c r="M181" s="774">
        <v>0</v>
      </c>
      <c r="N181" s="543"/>
    </row>
    <row r="182" spans="2:14" ht="38.25">
      <c r="B182" s="767" t="s">
        <v>850</v>
      </c>
      <c r="C182" s="621" t="s">
        <v>764</v>
      </c>
      <c r="D182" s="639" t="s">
        <v>743</v>
      </c>
      <c r="E182" s="639">
        <v>5</v>
      </c>
      <c r="F182" s="640">
        <v>150</v>
      </c>
      <c r="G182" s="641">
        <f t="shared" si="6"/>
        <v>750</v>
      </c>
      <c r="H182" s="636" t="s">
        <v>26</v>
      </c>
      <c r="I182" s="637" t="s">
        <v>26</v>
      </c>
      <c r="J182" s="638">
        <v>0</v>
      </c>
      <c r="K182" s="635" t="s">
        <v>26</v>
      </c>
      <c r="L182" s="637" t="s">
        <v>26</v>
      </c>
      <c r="M182" s="774">
        <v>0</v>
      </c>
      <c r="N182" s="543"/>
    </row>
    <row r="183" spans="2:14" ht="38.25">
      <c r="B183" s="767" t="s">
        <v>851</v>
      </c>
      <c r="C183" s="621" t="s">
        <v>765</v>
      </c>
      <c r="D183" s="639" t="s">
        <v>743</v>
      </c>
      <c r="E183" s="639">
        <v>8</v>
      </c>
      <c r="F183" s="640">
        <v>580</v>
      </c>
      <c r="G183" s="641">
        <f t="shared" si="6"/>
        <v>4640</v>
      </c>
      <c r="H183" s="636" t="s">
        <v>26</v>
      </c>
      <c r="I183" s="637" t="s">
        <v>26</v>
      </c>
      <c r="J183" s="638">
        <v>0</v>
      </c>
      <c r="K183" s="635" t="s">
        <v>26</v>
      </c>
      <c r="L183" s="637" t="s">
        <v>26</v>
      </c>
      <c r="M183" s="774">
        <v>0</v>
      </c>
      <c r="N183" s="543"/>
    </row>
    <row r="184" spans="2:14" ht="38.25">
      <c r="B184" s="767" t="s">
        <v>852</v>
      </c>
      <c r="C184" s="621" t="s">
        <v>766</v>
      </c>
      <c r="D184" s="639" t="s">
        <v>743</v>
      </c>
      <c r="E184" s="639">
        <v>1.8</v>
      </c>
      <c r="F184" s="640">
        <v>850</v>
      </c>
      <c r="G184" s="641">
        <f t="shared" si="6"/>
        <v>1530</v>
      </c>
      <c r="H184" s="636" t="s">
        <v>26</v>
      </c>
      <c r="I184" s="637" t="s">
        <v>26</v>
      </c>
      <c r="J184" s="638">
        <v>0</v>
      </c>
      <c r="K184" s="635" t="s">
        <v>26</v>
      </c>
      <c r="L184" s="637" t="s">
        <v>26</v>
      </c>
      <c r="M184" s="774">
        <v>0</v>
      </c>
      <c r="N184" s="543"/>
    </row>
    <row r="185" spans="2:14">
      <c r="B185" s="767" t="s">
        <v>853</v>
      </c>
      <c r="C185" s="621" t="s">
        <v>767</v>
      </c>
      <c r="D185" s="639" t="s">
        <v>472</v>
      </c>
      <c r="E185" s="639">
        <v>10</v>
      </c>
      <c r="F185" s="640">
        <v>50</v>
      </c>
      <c r="G185" s="641">
        <f t="shared" si="6"/>
        <v>500</v>
      </c>
      <c r="H185" s="636" t="s">
        <v>26</v>
      </c>
      <c r="I185" s="637" t="s">
        <v>26</v>
      </c>
      <c r="J185" s="638">
        <v>0</v>
      </c>
      <c r="K185" s="635" t="s">
        <v>26</v>
      </c>
      <c r="L185" s="637" t="s">
        <v>26</v>
      </c>
      <c r="M185" s="774">
        <v>0</v>
      </c>
      <c r="N185" s="543"/>
    </row>
    <row r="186" spans="2:14">
      <c r="B186" s="767" t="s">
        <v>854</v>
      </c>
      <c r="C186" s="621" t="s">
        <v>768</v>
      </c>
      <c r="D186" s="639" t="s">
        <v>472</v>
      </c>
      <c r="E186" s="639">
        <v>6</v>
      </c>
      <c r="F186" s="640">
        <v>30</v>
      </c>
      <c r="G186" s="641">
        <f t="shared" si="6"/>
        <v>180</v>
      </c>
      <c r="H186" s="636" t="s">
        <v>26</v>
      </c>
      <c r="I186" s="637" t="s">
        <v>26</v>
      </c>
      <c r="J186" s="638">
        <v>0</v>
      </c>
      <c r="K186" s="635" t="s">
        <v>26</v>
      </c>
      <c r="L186" s="637" t="s">
        <v>26</v>
      </c>
      <c r="M186" s="774">
        <v>0</v>
      </c>
      <c r="N186" s="543"/>
    </row>
    <row r="187" spans="2:14" ht="38.25">
      <c r="B187" s="767" t="s">
        <v>855</v>
      </c>
      <c r="C187" s="621" t="s">
        <v>769</v>
      </c>
      <c r="D187" s="639" t="s">
        <v>472</v>
      </c>
      <c r="E187" s="639">
        <v>2</v>
      </c>
      <c r="F187" s="640">
        <v>750</v>
      </c>
      <c r="G187" s="641">
        <f t="shared" si="6"/>
        <v>1500</v>
      </c>
      <c r="H187" s="636" t="s">
        <v>26</v>
      </c>
      <c r="I187" s="637" t="s">
        <v>26</v>
      </c>
      <c r="J187" s="638">
        <v>0</v>
      </c>
      <c r="K187" s="635" t="s">
        <v>26</v>
      </c>
      <c r="L187" s="637" t="s">
        <v>26</v>
      </c>
      <c r="M187" s="774">
        <v>0</v>
      </c>
      <c r="N187" s="543"/>
    </row>
    <row r="188" spans="2:14" ht="38.25">
      <c r="B188" s="767" t="s">
        <v>856</v>
      </c>
      <c r="C188" s="621" t="s">
        <v>770</v>
      </c>
      <c r="D188" s="639" t="s">
        <v>743</v>
      </c>
      <c r="E188" s="639">
        <v>0.5</v>
      </c>
      <c r="F188" s="640">
        <v>900</v>
      </c>
      <c r="G188" s="641">
        <f t="shared" si="6"/>
        <v>450</v>
      </c>
      <c r="H188" s="636" t="s">
        <v>26</v>
      </c>
      <c r="I188" s="637" t="s">
        <v>26</v>
      </c>
      <c r="J188" s="638">
        <v>0</v>
      </c>
      <c r="K188" s="635" t="s">
        <v>26</v>
      </c>
      <c r="L188" s="637" t="s">
        <v>26</v>
      </c>
      <c r="M188" s="774">
        <v>0</v>
      </c>
      <c r="N188" s="543"/>
    </row>
    <row r="189" spans="2:14" ht="38.25">
      <c r="B189" s="767" t="s">
        <v>857</v>
      </c>
      <c r="C189" s="621" t="s">
        <v>771</v>
      </c>
      <c r="D189" s="639" t="s">
        <v>743</v>
      </c>
      <c r="E189" s="639">
        <v>1.5</v>
      </c>
      <c r="F189" s="640">
        <v>1700</v>
      </c>
      <c r="G189" s="641">
        <f t="shared" si="6"/>
        <v>2550</v>
      </c>
      <c r="H189" s="636" t="s">
        <v>26</v>
      </c>
      <c r="I189" s="637" t="s">
        <v>26</v>
      </c>
      <c r="J189" s="638">
        <v>0</v>
      </c>
      <c r="K189" s="635" t="s">
        <v>26</v>
      </c>
      <c r="L189" s="637" t="s">
        <v>26</v>
      </c>
      <c r="M189" s="774">
        <v>0</v>
      </c>
      <c r="N189" s="543"/>
    </row>
    <row r="190" spans="2:14" ht="25.5">
      <c r="B190" s="767" t="s">
        <v>858</v>
      </c>
      <c r="C190" s="621" t="s">
        <v>772</v>
      </c>
      <c r="D190" s="639" t="s">
        <v>472</v>
      </c>
      <c r="E190" s="639">
        <v>160</v>
      </c>
      <c r="F190" s="640">
        <v>60</v>
      </c>
      <c r="G190" s="641">
        <f t="shared" si="6"/>
        <v>9600</v>
      </c>
      <c r="H190" s="636" t="s">
        <v>26</v>
      </c>
      <c r="I190" s="637" t="s">
        <v>26</v>
      </c>
      <c r="J190" s="638">
        <v>0</v>
      </c>
      <c r="K190" s="635" t="s">
        <v>26</v>
      </c>
      <c r="L190" s="637" t="s">
        <v>26</v>
      </c>
      <c r="M190" s="774">
        <v>0</v>
      </c>
      <c r="N190" s="543"/>
    </row>
    <row r="191" spans="2:14" ht="26.25" thickBot="1">
      <c r="B191" s="769" t="s">
        <v>859</v>
      </c>
      <c r="C191" s="662" t="s">
        <v>773</v>
      </c>
      <c r="D191" s="663" t="s">
        <v>472</v>
      </c>
      <c r="E191" s="663">
        <v>200</v>
      </c>
      <c r="F191" s="664">
        <v>20</v>
      </c>
      <c r="G191" s="665">
        <f t="shared" si="6"/>
        <v>4000</v>
      </c>
      <c r="H191" s="695" t="s">
        <v>26</v>
      </c>
      <c r="I191" s="696" t="s">
        <v>26</v>
      </c>
      <c r="J191" s="697">
        <v>0</v>
      </c>
      <c r="K191" s="698" t="s">
        <v>26</v>
      </c>
      <c r="L191" s="696" t="s">
        <v>26</v>
      </c>
      <c r="M191" s="775">
        <v>0</v>
      </c>
      <c r="N191" s="543"/>
    </row>
    <row r="192" spans="2:14" ht="26.25" thickBot="1">
      <c r="B192" s="653" t="s">
        <v>860</v>
      </c>
      <c r="C192" s="654" t="s">
        <v>680</v>
      </c>
      <c r="D192" s="655" t="s">
        <v>26</v>
      </c>
      <c r="E192" s="655" t="s">
        <v>26</v>
      </c>
      <c r="F192" s="656" t="s">
        <v>26</v>
      </c>
      <c r="G192" s="657">
        <f>SUM(G193:G193)</f>
        <v>199618.3</v>
      </c>
      <c r="H192" s="658" t="s">
        <v>26</v>
      </c>
      <c r="I192" s="659" t="s">
        <v>26</v>
      </c>
      <c r="J192" s="660">
        <v>0</v>
      </c>
      <c r="K192" s="655" t="s">
        <v>26</v>
      </c>
      <c r="L192" s="659" t="s">
        <v>26</v>
      </c>
      <c r="M192" s="661">
        <v>0</v>
      </c>
      <c r="N192" s="543"/>
    </row>
    <row r="193" spans="2:14" ht="26.25" thickBot="1">
      <c r="B193" s="776" t="s">
        <v>913</v>
      </c>
      <c r="C193" s="621" t="s">
        <v>914</v>
      </c>
      <c r="D193" s="639" t="s">
        <v>472</v>
      </c>
      <c r="E193" s="639" t="s">
        <v>26</v>
      </c>
      <c r="F193" s="640" t="s">
        <v>26</v>
      </c>
      <c r="G193" s="641">
        <v>199618.3</v>
      </c>
      <c r="H193" s="777" t="s">
        <v>26</v>
      </c>
      <c r="I193" s="778" t="s">
        <v>26</v>
      </c>
      <c r="J193" s="779">
        <v>0</v>
      </c>
      <c r="K193" s="762" t="s">
        <v>26</v>
      </c>
      <c r="L193" s="778" t="s">
        <v>26</v>
      </c>
      <c r="M193" s="780">
        <v>0</v>
      </c>
      <c r="N193" s="543"/>
    </row>
    <row r="194" spans="2:14" ht="26.25" thickBot="1">
      <c r="B194" s="653" t="s">
        <v>915</v>
      </c>
      <c r="C194" s="654" t="s">
        <v>916</v>
      </c>
      <c r="D194" s="655" t="s">
        <v>26</v>
      </c>
      <c r="E194" s="655" t="s">
        <v>26</v>
      </c>
      <c r="F194" s="656" t="s">
        <v>26</v>
      </c>
      <c r="G194" s="657">
        <f>SUM(G195:G195)</f>
        <v>194070.76</v>
      </c>
      <c r="H194" s="658" t="s">
        <v>26</v>
      </c>
      <c r="I194" s="659" t="s">
        <v>26</v>
      </c>
      <c r="J194" s="660">
        <v>0</v>
      </c>
      <c r="K194" s="655" t="s">
        <v>26</v>
      </c>
      <c r="L194" s="659" t="s">
        <v>26</v>
      </c>
      <c r="M194" s="661">
        <v>0</v>
      </c>
      <c r="N194" s="543"/>
    </row>
    <row r="195" spans="2:14" ht="26.25" thickBot="1">
      <c r="B195" s="776" t="s">
        <v>919</v>
      </c>
      <c r="C195" s="621" t="s">
        <v>914</v>
      </c>
      <c r="D195" s="639" t="s">
        <v>472</v>
      </c>
      <c r="E195" s="639" t="s">
        <v>26</v>
      </c>
      <c r="F195" s="640" t="s">
        <v>26</v>
      </c>
      <c r="G195" s="641">
        <f>127163.86+66906.9</f>
        <v>194070.76</v>
      </c>
      <c r="H195" s="777" t="s">
        <v>26</v>
      </c>
      <c r="I195" s="778" t="s">
        <v>26</v>
      </c>
      <c r="J195" s="779">
        <v>0</v>
      </c>
      <c r="K195" s="762" t="s">
        <v>26</v>
      </c>
      <c r="L195" s="778" t="s">
        <v>26</v>
      </c>
      <c r="M195" s="780">
        <v>0</v>
      </c>
      <c r="N195" s="543"/>
    </row>
    <row r="196" spans="2:14" ht="39" thickBot="1">
      <c r="B196" s="653" t="s">
        <v>917</v>
      </c>
      <c r="C196" s="732" t="s">
        <v>921</v>
      </c>
      <c r="D196" s="655" t="s">
        <v>26</v>
      </c>
      <c r="E196" s="655" t="s">
        <v>26</v>
      </c>
      <c r="F196" s="656" t="s">
        <v>26</v>
      </c>
      <c r="G196" s="657">
        <f>SUM(G197:G197)</f>
        <v>0</v>
      </c>
      <c r="H196" s="658" t="s">
        <v>26</v>
      </c>
      <c r="I196" s="659" t="s">
        <v>26</v>
      </c>
      <c r="J196" s="660">
        <f>J197</f>
        <v>477131.95</v>
      </c>
      <c r="K196" s="655" t="s">
        <v>26</v>
      </c>
      <c r="L196" s="659" t="s">
        <v>26</v>
      </c>
      <c r="M196" s="661">
        <f>M197</f>
        <v>341416.55</v>
      </c>
      <c r="N196" s="543"/>
    </row>
    <row r="197" spans="2:14" ht="25.5">
      <c r="B197" s="776" t="s">
        <v>918</v>
      </c>
      <c r="C197" s="621" t="s">
        <v>914</v>
      </c>
      <c r="D197" s="639" t="s">
        <v>472</v>
      </c>
      <c r="E197" s="639" t="s">
        <v>26</v>
      </c>
      <c r="F197" s="640" t="s">
        <v>26</v>
      </c>
      <c r="G197" s="641">
        <v>0</v>
      </c>
      <c r="H197" s="777" t="s">
        <v>26</v>
      </c>
      <c r="I197" s="778" t="s">
        <v>26</v>
      </c>
      <c r="J197" s="779">
        <v>477131.95</v>
      </c>
      <c r="K197" s="762" t="s">
        <v>26</v>
      </c>
      <c r="L197" s="778" t="s">
        <v>26</v>
      </c>
      <c r="M197" s="780">
        <v>341416.55</v>
      </c>
      <c r="N197" s="543"/>
    </row>
    <row r="198" spans="2:14" ht="15.75" thickBot="1">
      <c r="B198" s="781" t="s">
        <v>26</v>
      </c>
      <c r="C198" s="782" t="s">
        <v>257</v>
      </c>
      <c r="D198" s="783" t="s">
        <v>26</v>
      </c>
      <c r="E198" s="783" t="s">
        <v>26</v>
      </c>
      <c r="F198" s="784" t="s">
        <v>26</v>
      </c>
      <c r="G198" s="785">
        <f>G99+G113</f>
        <v>620603.27</v>
      </c>
      <c r="H198" s="784" t="s">
        <v>26</v>
      </c>
      <c r="I198" s="783" t="s">
        <v>26</v>
      </c>
      <c r="J198" s="785">
        <f>J99+J113</f>
        <v>477131.95</v>
      </c>
      <c r="K198" s="783" t="s">
        <v>26</v>
      </c>
      <c r="L198" s="783" t="s">
        <v>26</v>
      </c>
      <c r="M198" s="786">
        <f>M99+M113</f>
        <v>341416.55</v>
      </c>
      <c r="N198" s="543"/>
    </row>
    <row r="201" spans="2:14">
      <c r="B201" s="539" t="s">
        <v>238</v>
      </c>
      <c r="C201" s="539"/>
      <c r="D201" s="539"/>
      <c r="E201" s="539"/>
      <c r="F201" s="539"/>
      <c r="G201" s="539"/>
      <c r="H201" s="539"/>
      <c r="I201" s="539"/>
      <c r="J201" s="539"/>
      <c r="K201" s="539"/>
      <c r="L201" s="539"/>
      <c r="M201" s="539"/>
    </row>
    <row r="202" spans="2:14">
      <c r="B202" s="583" t="s">
        <v>239</v>
      </c>
    </row>
    <row r="203" spans="2:14">
      <c r="B203" s="374" t="s">
        <v>923</v>
      </c>
    </row>
    <row r="204" spans="2:14">
      <c r="B204" s="583" t="s">
        <v>924</v>
      </c>
    </row>
    <row r="205" spans="2:14">
      <c r="B205" s="1072" t="s">
        <v>179</v>
      </c>
      <c r="C205" s="1072" t="s">
        <v>247</v>
      </c>
      <c r="D205" s="1072" t="s">
        <v>443</v>
      </c>
      <c r="E205" s="1072" t="s">
        <v>562</v>
      </c>
      <c r="F205" s="1072"/>
      <c r="G205" s="1072"/>
      <c r="H205" s="1072" t="s">
        <v>563</v>
      </c>
      <c r="I205" s="1072"/>
      <c r="J205" s="1072"/>
      <c r="K205" s="1072" t="s">
        <v>564</v>
      </c>
      <c r="L205" s="1072"/>
      <c r="M205" s="1072"/>
    </row>
    <row r="206" spans="2:14">
      <c r="B206" s="1072"/>
      <c r="C206" s="1072"/>
      <c r="D206" s="1072"/>
      <c r="E206" s="1072" t="s">
        <v>422</v>
      </c>
      <c r="F206" s="1116" t="s">
        <v>310</v>
      </c>
      <c r="G206" s="1116" t="s">
        <v>250</v>
      </c>
      <c r="H206" s="1116" t="s">
        <v>422</v>
      </c>
      <c r="I206" s="730" t="s">
        <v>369</v>
      </c>
      <c r="J206" s="1072" t="s">
        <v>250</v>
      </c>
      <c r="K206" s="1072" t="s">
        <v>422</v>
      </c>
      <c r="L206" s="730" t="s">
        <v>369</v>
      </c>
      <c r="M206" s="1072" t="s">
        <v>250</v>
      </c>
    </row>
    <row r="207" spans="2:14">
      <c r="B207" s="1072"/>
      <c r="C207" s="1072"/>
      <c r="D207" s="1072"/>
      <c r="E207" s="1072"/>
      <c r="F207" s="1116"/>
      <c r="G207" s="1116"/>
      <c r="H207" s="1116"/>
      <c r="I207" s="730" t="s">
        <v>437</v>
      </c>
      <c r="J207" s="1072"/>
      <c r="K207" s="1072"/>
      <c r="L207" s="730" t="s">
        <v>437</v>
      </c>
      <c r="M207" s="1072"/>
    </row>
    <row r="208" spans="2:14" ht="25.5">
      <c r="B208" s="730">
        <v>1</v>
      </c>
      <c r="C208" s="607" t="s">
        <v>922</v>
      </c>
      <c r="D208" s="635" t="s">
        <v>454</v>
      </c>
      <c r="E208" s="635">
        <v>0</v>
      </c>
      <c r="F208" s="753">
        <v>0</v>
      </c>
      <c r="G208" s="753">
        <v>188960.57</v>
      </c>
      <c r="H208" s="609">
        <v>0</v>
      </c>
      <c r="I208" s="531">
        <v>0</v>
      </c>
      <c r="J208" s="531">
        <v>0</v>
      </c>
      <c r="K208" s="531">
        <v>0</v>
      </c>
      <c r="L208" s="531">
        <v>0</v>
      </c>
      <c r="M208" s="531">
        <v>0</v>
      </c>
    </row>
    <row r="209" spans="2:17">
      <c r="B209" s="615"/>
      <c r="C209" s="616" t="s">
        <v>257</v>
      </c>
      <c r="D209" s="612" t="s">
        <v>26</v>
      </c>
      <c r="E209" s="617" t="s">
        <v>26</v>
      </c>
      <c r="F209" s="754" t="s">
        <v>26</v>
      </c>
      <c r="G209" s="790">
        <f>SUM(G208:G208)</f>
        <v>188960.57</v>
      </c>
      <c r="H209" s="754" t="s">
        <v>26</v>
      </c>
      <c r="I209" s="612" t="s">
        <v>26</v>
      </c>
      <c r="J209" s="755">
        <v>0</v>
      </c>
      <c r="K209" s="612" t="s">
        <v>26</v>
      </c>
      <c r="L209" s="612" t="s">
        <v>26</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246</v>
      </c>
      <c r="C214" s="788"/>
      <c r="D214" s="788"/>
      <c r="E214" s="788"/>
      <c r="F214" s="788"/>
      <c r="G214" s="788"/>
      <c r="H214" s="788"/>
      <c r="I214" s="788"/>
      <c r="J214" s="788"/>
      <c r="K214" s="788"/>
      <c r="L214" s="788"/>
      <c r="M214" s="788"/>
      <c r="N214" s="788"/>
      <c r="O214" s="374"/>
    </row>
    <row r="215" spans="2:17">
      <c r="B215" s="374" t="s">
        <v>242</v>
      </c>
      <c r="N215" s="788"/>
    </row>
    <row r="216" spans="2:17">
      <c r="B216" s="374" t="s">
        <v>884</v>
      </c>
      <c r="N216" s="788"/>
    </row>
    <row r="217" spans="2:17">
      <c r="B217" s="374" t="s">
        <v>890</v>
      </c>
      <c r="N217" s="788"/>
    </row>
    <row r="218" spans="2:17">
      <c r="B218" s="583" t="s">
        <v>531</v>
      </c>
      <c r="N218" s="788"/>
    </row>
    <row r="219" spans="2:17" ht="15" customHeight="1">
      <c r="B219" s="1085" t="s">
        <v>179</v>
      </c>
      <c r="C219" s="1085" t="s">
        <v>247</v>
      </c>
      <c r="D219" s="1085" t="s">
        <v>443</v>
      </c>
      <c r="E219" s="1072" t="s">
        <v>562</v>
      </c>
      <c r="F219" s="1072"/>
      <c r="G219" s="1072"/>
      <c r="H219" s="1072" t="s">
        <v>563</v>
      </c>
      <c r="I219" s="1072"/>
      <c r="J219" s="1072"/>
      <c r="K219" s="1072" t="s">
        <v>564</v>
      </c>
      <c r="L219" s="1072"/>
      <c r="M219" s="1072"/>
      <c r="N219" s="788"/>
    </row>
    <row r="220" spans="2:17" ht="15" customHeight="1">
      <c r="B220" s="1122"/>
      <c r="C220" s="1122"/>
      <c r="D220" s="1122"/>
      <c r="E220" s="1085" t="s">
        <v>422</v>
      </c>
      <c r="F220" s="1085" t="s">
        <v>310</v>
      </c>
      <c r="G220" s="1085" t="s">
        <v>250</v>
      </c>
      <c r="H220" s="1085" t="s">
        <v>422</v>
      </c>
      <c r="I220" s="730" t="s">
        <v>369</v>
      </c>
      <c r="J220" s="1085" t="s">
        <v>250</v>
      </c>
      <c r="K220" s="1085" t="s">
        <v>422</v>
      </c>
      <c r="L220" s="730" t="s">
        <v>369</v>
      </c>
      <c r="M220" s="1085" t="s">
        <v>250</v>
      </c>
      <c r="N220" s="788"/>
    </row>
    <row r="221" spans="2:17" s="543" customFormat="1">
      <c r="B221" s="1121"/>
      <c r="C221" s="1121"/>
      <c r="D221" s="1121"/>
      <c r="E221" s="1121"/>
      <c r="F221" s="1121"/>
      <c r="G221" s="1121"/>
      <c r="H221" s="1121"/>
      <c r="I221" s="730" t="s">
        <v>437</v>
      </c>
      <c r="J221" s="1121"/>
      <c r="K221" s="1121"/>
      <c r="L221" s="730" t="s">
        <v>437</v>
      </c>
      <c r="M221" s="1121"/>
      <c r="N221" s="788"/>
      <c r="O221" s="374"/>
    </row>
    <row r="222" spans="2:17">
      <c r="B222" s="730">
        <v>1</v>
      </c>
      <c r="C222" s="607" t="s">
        <v>891</v>
      </c>
      <c r="D222" s="612" t="s">
        <v>454</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257</v>
      </c>
      <c r="D223" s="740" t="s">
        <v>26</v>
      </c>
      <c r="E223" s="740" t="s">
        <v>26</v>
      </c>
      <c r="F223" s="740" t="s">
        <v>26</v>
      </c>
      <c r="G223" s="750">
        <f>G222</f>
        <v>2850</v>
      </c>
      <c r="H223" s="740" t="s">
        <v>26</v>
      </c>
      <c r="I223" s="740" t="s">
        <v>26</v>
      </c>
      <c r="J223" s="751">
        <f>J222</f>
        <v>0</v>
      </c>
      <c r="K223" s="740" t="s">
        <v>26</v>
      </c>
      <c r="L223" s="740" t="s">
        <v>26</v>
      </c>
      <c r="M223" s="751">
        <f>M222</f>
        <v>0</v>
      </c>
      <c r="N223" s="798"/>
    </row>
    <row r="224" spans="2:17">
      <c r="C224" s="800"/>
      <c r="D224" s="801"/>
      <c r="E224" s="801"/>
      <c r="F224" s="801"/>
      <c r="G224" s="802"/>
      <c r="H224" s="801"/>
      <c r="I224" s="801"/>
      <c r="J224" s="803"/>
      <c r="K224" s="801"/>
      <c r="L224" s="801"/>
      <c r="M224" s="803"/>
      <c r="Q224" s="538" t="s">
        <v>455</v>
      </c>
    </row>
    <row r="227" spans="2:7">
      <c r="B227" s="801"/>
    </row>
    <row r="228" spans="2:7">
      <c r="B228" s="801"/>
      <c r="E228" s="374">
        <v>2023</v>
      </c>
      <c r="F228" s="374">
        <v>2024</v>
      </c>
      <c r="G228" s="374">
        <v>2025</v>
      </c>
    </row>
    <row r="229" spans="2:7">
      <c r="B229" s="801">
        <v>2</v>
      </c>
      <c r="C229" s="374" t="s">
        <v>901</v>
      </c>
      <c r="D229" s="374">
        <v>310</v>
      </c>
      <c r="E229" s="802">
        <f>G21</f>
        <v>813930</v>
      </c>
      <c r="F229" s="804">
        <f>J21</f>
        <v>200000</v>
      </c>
      <c r="G229" s="804">
        <f>M21</f>
        <v>200000</v>
      </c>
    </row>
    <row r="230" spans="2:7">
      <c r="B230" s="801">
        <v>5</v>
      </c>
      <c r="C230" s="374" t="s">
        <v>902</v>
      </c>
      <c r="D230" s="374">
        <v>310</v>
      </c>
      <c r="E230" s="802">
        <f>G37</f>
        <v>247150</v>
      </c>
      <c r="F230" s="804">
        <f>J37</f>
        <v>0</v>
      </c>
      <c r="G230" s="804">
        <f>M37</f>
        <v>0</v>
      </c>
    </row>
    <row r="231" spans="2:7">
      <c r="B231" s="801"/>
    </row>
    <row r="232" spans="2:7">
      <c r="B232" s="801">
        <v>2</v>
      </c>
      <c r="C232" s="374" t="s">
        <v>901</v>
      </c>
      <c r="D232" s="374">
        <v>342</v>
      </c>
      <c r="E232" s="802">
        <f>G47</f>
        <v>51570</v>
      </c>
      <c r="F232" s="802">
        <f>J47</f>
        <v>51570</v>
      </c>
      <c r="G232" s="802">
        <f>M47</f>
        <v>51570</v>
      </c>
    </row>
    <row r="233" spans="2:7">
      <c r="B233" s="801"/>
    </row>
    <row r="234" spans="2:7">
      <c r="B234" s="801">
        <v>2</v>
      </c>
      <c r="C234" s="374" t="s">
        <v>901</v>
      </c>
      <c r="D234" s="374">
        <v>345</v>
      </c>
      <c r="E234" s="804">
        <f>G49+G50+G51+G52+G53</f>
        <v>9041</v>
      </c>
      <c r="F234" s="804">
        <f>J49+J50+J51+J52+J53</f>
        <v>0</v>
      </c>
      <c r="G234" s="804">
        <f>M49+M50+M51+M52+M53</f>
        <v>0</v>
      </c>
    </row>
    <row r="235" spans="2:7">
      <c r="B235" s="801">
        <v>4</v>
      </c>
      <c r="C235" s="374" t="s">
        <v>901</v>
      </c>
      <c r="D235" s="374">
        <v>345</v>
      </c>
      <c r="E235" s="802">
        <f>G65</f>
        <v>0</v>
      </c>
      <c r="F235" s="802">
        <f>J65</f>
        <v>0</v>
      </c>
      <c r="G235" s="802">
        <f>M65</f>
        <v>0</v>
      </c>
    </row>
    <row r="236" spans="2:7">
      <c r="B236" s="801"/>
    </row>
    <row r="237" spans="2:7">
      <c r="B237" s="801"/>
    </row>
    <row r="238" spans="2:7">
      <c r="B238" s="801">
        <v>2</v>
      </c>
      <c r="C238" s="374" t="s">
        <v>903</v>
      </c>
      <c r="D238" s="374">
        <v>345</v>
      </c>
      <c r="E238" s="802">
        <f>G78</f>
        <v>6171.52</v>
      </c>
      <c r="F238" s="804">
        <f>J78</f>
        <v>7246.66</v>
      </c>
      <c r="G238" s="804">
        <f>M78</f>
        <v>7181.72</v>
      </c>
    </row>
    <row r="239" spans="2:7">
      <c r="B239" s="801">
        <v>4</v>
      </c>
      <c r="C239" s="374" t="s">
        <v>903</v>
      </c>
      <c r="D239" s="374">
        <v>345</v>
      </c>
      <c r="E239" s="802">
        <f>G89</f>
        <v>26310.14</v>
      </c>
      <c r="F239" s="804">
        <f>J89</f>
        <v>30893.68</v>
      </c>
      <c r="G239" s="804">
        <f>M89</f>
        <v>30616.73</v>
      </c>
    </row>
    <row r="240" spans="2:7">
      <c r="B240" s="801"/>
    </row>
    <row r="241" spans="2:7">
      <c r="B241" s="801"/>
    </row>
    <row r="242" spans="2:7">
      <c r="B242" s="801">
        <v>4</v>
      </c>
      <c r="C242" s="374" t="s">
        <v>904</v>
      </c>
      <c r="D242" s="374">
        <v>345</v>
      </c>
      <c r="E242" s="802">
        <f>G99</f>
        <v>83000</v>
      </c>
      <c r="F242" s="802">
        <f>J99</f>
        <v>0</v>
      </c>
      <c r="G242" s="802">
        <f>M99</f>
        <v>0</v>
      </c>
    </row>
    <row r="243" spans="2:7">
      <c r="B243" s="801">
        <v>4</v>
      </c>
      <c r="C243" s="374" t="s">
        <v>904</v>
      </c>
      <c r="D243" s="374">
        <v>346</v>
      </c>
      <c r="E243" s="802">
        <f>G113</f>
        <v>537603.27</v>
      </c>
      <c r="F243" s="802">
        <f>J113</f>
        <v>477131.95</v>
      </c>
      <c r="G243" s="802">
        <f>M113</f>
        <v>341416.55</v>
      </c>
    </row>
    <row r="244" spans="2:7">
      <c r="B244" s="801"/>
    </row>
    <row r="245" spans="2:7">
      <c r="B245" s="801">
        <v>2</v>
      </c>
      <c r="C245" s="374" t="s">
        <v>901</v>
      </c>
      <c r="D245" s="374">
        <v>346</v>
      </c>
      <c r="E245" s="802">
        <f>G54</f>
        <v>537923.11</v>
      </c>
      <c r="F245" s="802">
        <f>J54</f>
        <v>491020.43</v>
      </c>
      <c r="G245" s="802">
        <f>M54</f>
        <v>491020.43</v>
      </c>
    </row>
    <row r="246" spans="2:7">
      <c r="B246" s="801">
        <v>4</v>
      </c>
      <c r="C246" s="374" t="s">
        <v>901</v>
      </c>
      <c r="D246" s="374">
        <v>346</v>
      </c>
      <c r="E246" s="802">
        <f>G66</f>
        <v>187438.31</v>
      </c>
      <c r="F246" s="802">
        <f>J66</f>
        <v>87438.32</v>
      </c>
      <c r="G246" s="802">
        <f>M66</f>
        <v>87438.31</v>
      </c>
    </row>
    <row r="247" spans="2:7">
      <c r="B247" s="801"/>
    </row>
    <row r="248" spans="2:7">
      <c r="B248" s="801"/>
    </row>
    <row r="249" spans="2:7">
      <c r="B249" s="801">
        <v>4</v>
      </c>
      <c r="C249" s="374" t="s">
        <v>920</v>
      </c>
      <c r="D249" s="374">
        <v>346</v>
      </c>
      <c r="E249" s="802">
        <f>G209</f>
        <v>188960.57</v>
      </c>
      <c r="F249" s="804">
        <f>J209</f>
        <v>0</v>
      </c>
      <c r="G249" s="804">
        <f>M209</f>
        <v>0</v>
      </c>
    </row>
    <row r="250" spans="2:7">
      <c r="B250" s="801"/>
    </row>
    <row r="251" spans="2:7">
      <c r="B251" s="801"/>
    </row>
    <row r="252" spans="2:7">
      <c r="B252" s="801">
        <v>5</v>
      </c>
      <c r="C252" s="374" t="s">
        <v>902</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J97:J98"/>
    <mergeCell ref="K97:K98"/>
    <mergeCell ref="L97:L98"/>
    <mergeCell ref="M97:M98"/>
    <mergeCell ref="K74:M74"/>
    <mergeCell ref="E75:E76"/>
    <mergeCell ref="F75:F76"/>
    <mergeCell ref="G75:G76"/>
    <mergeCell ref="H75:H76"/>
    <mergeCell ref="J75:J76"/>
    <mergeCell ref="K75:K76"/>
    <mergeCell ref="M75:M76"/>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K44:M44"/>
    <mergeCell ref="E45:E46"/>
    <mergeCell ref="F45:F46"/>
    <mergeCell ref="G45:G46"/>
    <mergeCell ref="H45:H46"/>
    <mergeCell ref="J45:J46"/>
    <mergeCell ref="K45:K46"/>
    <mergeCell ref="M45:M46"/>
    <mergeCell ref="B44:B46"/>
    <mergeCell ref="C44:C46"/>
    <mergeCell ref="D44:D46"/>
    <mergeCell ref="E44:G44"/>
    <mergeCell ref="H44:J44"/>
    <mergeCell ref="B8:B10"/>
    <mergeCell ref="C8:C10"/>
    <mergeCell ref="D8:D10"/>
    <mergeCell ref="E8:G8"/>
    <mergeCell ref="H8:J8"/>
    <mergeCell ref="K8:M8"/>
    <mergeCell ref="E9:E10"/>
    <mergeCell ref="F9:F10"/>
    <mergeCell ref="G9:G10"/>
    <mergeCell ref="H9:H10"/>
    <mergeCell ref="J9:J10"/>
    <mergeCell ref="K9:K10"/>
    <mergeCell ref="M9:M10"/>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29:B31"/>
    <mergeCell ref="C29:C31"/>
    <mergeCell ref="D29:D31"/>
    <mergeCell ref="E29:G29"/>
    <mergeCell ref="H29:J29"/>
    <mergeCell ref="K29:M29"/>
    <mergeCell ref="E30:E31"/>
    <mergeCell ref="F30:F31"/>
    <mergeCell ref="G30:G31"/>
    <mergeCell ref="H30:H31"/>
    <mergeCell ref="J30:J31"/>
    <mergeCell ref="K30:K31"/>
    <mergeCell ref="M30:M31"/>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6"/>
  <sheetViews>
    <sheetView view="pageBreakPreview" zoomScale="70" zoomScaleNormal="85" zoomScaleSheetLayoutView="70" workbookViewId="0">
      <pane xSplit="5" ySplit="3" topLeftCell="F91" activePane="bottomRight" state="frozen"/>
      <selection pane="topRight" activeCell="F1" sqref="F1"/>
      <selection pane="bottomLeft" activeCell="A4" sqref="A4"/>
      <selection pane="bottomRight" activeCell="E101" sqref="E101"/>
    </sheetView>
  </sheetViews>
  <sheetFormatPr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18.75" customHeight="1">
      <c r="A1" s="885" t="s">
        <v>8</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row>
    <row r="2" spans="1:31" ht="15.75" customHeight="1">
      <c r="A2" s="883" t="s">
        <v>9</v>
      </c>
      <c r="B2" s="883" t="s">
        <v>10</v>
      </c>
      <c r="C2" s="883" t="s">
        <v>11</v>
      </c>
      <c r="D2" s="883" t="s">
        <v>12</v>
      </c>
      <c r="E2" s="883" t="s">
        <v>13</v>
      </c>
      <c r="F2" s="883"/>
      <c r="G2" s="883"/>
      <c r="H2" s="883"/>
      <c r="I2" s="883"/>
      <c r="J2" s="883"/>
      <c r="K2" s="883"/>
      <c r="L2" s="883"/>
      <c r="M2" s="883"/>
      <c r="N2" s="883"/>
      <c r="O2" s="883"/>
      <c r="P2" s="883"/>
      <c r="Q2" s="883"/>
      <c r="R2" s="883"/>
      <c r="S2" s="883"/>
      <c r="T2" s="883"/>
      <c r="U2" s="883"/>
      <c r="V2" s="883"/>
      <c r="W2" s="883"/>
      <c r="X2" s="883"/>
      <c r="Y2" s="883"/>
      <c r="Z2" s="883"/>
      <c r="AA2" s="883"/>
      <c r="AB2" s="883"/>
    </row>
    <row r="3" spans="1:31" s="120" customFormat="1" ht="81" customHeight="1">
      <c r="A3" s="883"/>
      <c r="B3" s="883"/>
      <c r="C3" s="883"/>
      <c r="D3" s="883"/>
      <c r="E3" s="890" t="s">
        <v>614</v>
      </c>
      <c r="F3" s="892" t="s">
        <v>661</v>
      </c>
      <c r="G3" s="893"/>
      <c r="H3" s="894"/>
      <c r="I3" s="897" t="s">
        <v>662</v>
      </c>
      <c r="J3" s="898"/>
      <c r="K3" s="899"/>
      <c r="L3" s="875"/>
      <c r="M3" s="875"/>
      <c r="N3" s="875"/>
      <c r="O3" s="875"/>
      <c r="P3" s="875"/>
      <c r="Q3" s="875"/>
      <c r="R3" s="875"/>
      <c r="S3" s="875"/>
      <c r="T3" s="890" t="s">
        <v>615</v>
      </c>
      <c r="U3" s="873"/>
      <c r="V3" s="873"/>
      <c r="W3" s="873"/>
      <c r="X3" s="873"/>
      <c r="Y3" s="460"/>
      <c r="Z3" s="460"/>
      <c r="AA3" s="460"/>
      <c r="AB3" s="460"/>
    </row>
    <row r="4" spans="1:31" ht="45">
      <c r="A4" s="883"/>
      <c r="B4" s="883"/>
      <c r="C4" s="883"/>
      <c r="D4" s="883"/>
      <c r="E4" s="891"/>
      <c r="F4" s="546" t="s">
        <v>659</v>
      </c>
      <c r="G4" s="546" t="s">
        <v>657</v>
      </c>
      <c r="H4" s="546" t="s">
        <v>658</v>
      </c>
      <c r="I4" s="547" t="s">
        <v>659</v>
      </c>
      <c r="J4" s="547" t="s">
        <v>657</v>
      </c>
      <c r="K4" s="547" t="s">
        <v>658</v>
      </c>
      <c r="L4" s="547"/>
      <c r="M4" s="547"/>
      <c r="N4" s="547"/>
      <c r="O4" s="547"/>
      <c r="P4" s="547"/>
      <c r="Q4" s="547"/>
      <c r="R4" s="547"/>
      <c r="S4" s="547"/>
      <c r="T4" s="891"/>
      <c r="U4" s="874">
        <v>2</v>
      </c>
      <c r="V4" s="874">
        <v>4</v>
      </c>
      <c r="W4" s="874">
        <v>5</v>
      </c>
      <c r="X4" s="877" t="s">
        <v>616</v>
      </c>
      <c r="Y4" s="367">
        <v>2</v>
      </c>
      <c r="Z4" s="367">
        <v>4</v>
      </c>
      <c r="AA4" s="367">
        <v>5</v>
      </c>
      <c r="AB4" s="350" t="s">
        <v>15</v>
      </c>
    </row>
    <row r="5" spans="1:31">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31">
      <c r="A6" s="886" t="s">
        <v>24</v>
      </c>
      <c r="B6" s="887" t="s">
        <v>25</v>
      </c>
      <c r="C6" s="883" t="s">
        <v>26</v>
      </c>
      <c r="D6" s="883" t="s">
        <v>26</v>
      </c>
      <c r="E6" s="888">
        <f>F6</f>
        <v>1532575.99</v>
      </c>
      <c r="F6" s="895">
        <f>G6+H6</f>
        <v>1532575.99</v>
      </c>
      <c r="G6" s="895">
        <f>890702+268992.51</f>
        <v>1159694.51</v>
      </c>
      <c r="H6" s="895">
        <v>372881.48</v>
      </c>
      <c r="I6" s="548"/>
      <c r="J6" s="548"/>
      <c r="K6" s="548"/>
      <c r="L6" s="548"/>
      <c r="M6" s="548"/>
      <c r="N6" s="548"/>
      <c r="O6" s="548"/>
      <c r="P6" s="548"/>
      <c r="Q6" s="548"/>
      <c r="R6" s="548"/>
      <c r="S6" s="548"/>
      <c r="T6" s="889" t="s">
        <v>52</v>
      </c>
      <c r="U6" s="457"/>
      <c r="V6" s="457"/>
      <c r="W6" s="457"/>
      <c r="X6" s="889" t="s">
        <v>52</v>
      </c>
      <c r="Y6" s="34"/>
      <c r="Z6" s="34"/>
      <c r="AA6" s="34"/>
      <c r="AB6" s="884" t="s">
        <v>52</v>
      </c>
    </row>
    <row r="7" spans="1:31">
      <c r="A7" s="886"/>
      <c r="B7" s="887"/>
      <c r="C7" s="883"/>
      <c r="D7" s="883"/>
      <c r="E7" s="888"/>
      <c r="F7" s="896"/>
      <c r="G7" s="896"/>
      <c r="H7" s="896"/>
      <c r="I7" s="549"/>
      <c r="J7" s="549"/>
      <c r="K7" s="549"/>
      <c r="L7" s="549"/>
      <c r="M7" s="549"/>
      <c r="N7" s="549"/>
      <c r="O7" s="549"/>
      <c r="P7" s="549"/>
      <c r="Q7" s="549"/>
      <c r="R7" s="549"/>
      <c r="S7" s="549"/>
      <c r="T7" s="889"/>
      <c r="U7" s="457"/>
      <c r="V7" s="457"/>
      <c r="W7" s="457"/>
      <c r="X7" s="889"/>
      <c r="Y7" s="34"/>
      <c r="Z7" s="34"/>
      <c r="AA7" s="34"/>
      <c r="AB7" s="884"/>
    </row>
    <row r="8" spans="1:31"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31"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31" s="120" customFormat="1" ht="30.75" customHeight="1">
      <c r="A10" s="370" t="s">
        <v>27</v>
      </c>
      <c r="B10" s="219" t="s">
        <v>28</v>
      </c>
      <c r="C10" s="369" t="s">
        <v>26</v>
      </c>
      <c r="D10" s="369" t="s">
        <v>26</v>
      </c>
      <c r="E10" s="220" t="s">
        <v>52</v>
      </c>
      <c r="F10" s="551"/>
      <c r="G10" s="551"/>
      <c r="H10" s="551"/>
      <c r="I10" s="551"/>
      <c r="J10" s="551"/>
      <c r="K10" s="551"/>
      <c r="L10" s="551"/>
      <c r="M10" s="551"/>
      <c r="N10" s="551"/>
      <c r="O10" s="551"/>
      <c r="P10" s="551"/>
      <c r="Q10" s="551"/>
      <c r="R10" s="551"/>
      <c r="S10" s="551"/>
      <c r="T10" s="363" t="s">
        <v>52</v>
      </c>
      <c r="U10" s="217"/>
      <c r="V10" s="217"/>
      <c r="W10" s="217"/>
      <c r="X10" s="220" t="s">
        <v>52</v>
      </c>
      <c r="Y10" s="221"/>
      <c r="Z10" s="221"/>
      <c r="AA10" s="221"/>
      <c r="AB10" s="220" t="s">
        <v>52</v>
      </c>
    </row>
    <row r="11" spans="1:31" s="35" customFormat="1">
      <c r="A11" s="365" t="s">
        <v>29</v>
      </c>
      <c r="B11" s="357">
        <v>1000</v>
      </c>
      <c r="C11" s="357" t="s">
        <v>53</v>
      </c>
      <c r="D11" s="357" t="s">
        <v>53</v>
      </c>
      <c r="E11" s="358">
        <f>E15+E22</f>
        <v>81883617.609999999</v>
      </c>
      <c r="F11" s="519"/>
      <c r="G11" s="519"/>
      <c r="H11" s="519"/>
      <c r="I11" s="519"/>
      <c r="J11" s="519"/>
      <c r="K11" s="519"/>
      <c r="L11" s="519"/>
      <c r="M11" s="519"/>
      <c r="N11" s="519"/>
      <c r="O11" s="519"/>
      <c r="P11" s="519"/>
      <c r="Q11" s="519"/>
      <c r="R11" s="519"/>
      <c r="S11" s="519"/>
      <c r="T11" s="358">
        <f>T15+T22+T28</f>
        <v>62676502.950000003</v>
      </c>
      <c r="U11" s="36">
        <f>U15</f>
        <v>0</v>
      </c>
      <c r="V11" s="36" t="str">
        <f>V15</f>
        <v>2021 год</v>
      </c>
      <c r="W11" s="36">
        <v>4800</v>
      </c>
      <c r="X11" s="358">
        <f>X15+X22+X28</f>
        <v>57839751.079999998</v>
      </c>
      <c r="Y11" s="36">
        <f>Y15</f>
        <v>12701250</v>
      </c>
      <c r="Z11" s="36">
        <f>Z15</f>
        <v>46636352.270000003</v>
      </c>
      <c r="AA11" s="36">
        <f>AA25</f>
        <v>7200</v>
      </c>
      <c r="AB11" s="359" t="s">
        <v>52</v>
      </c>
      <c r="AC11" s="876">
        <f>E11+E6+E115</f>
        <v>83316193.599999994</v>
      </c>
    </row>
    <row r="12" spans="1:31" s="196" customFormat="1" hidden="1">
      <c r="A12" s="212" t="s">
        <v>31</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31" ht="30">
      <c r="A13" s="351" t="s">
        <v>516</v>
      </c>
      <c r="B13" s="349">
        <v>1100</v>
      </c>
      <c r="C13" s="349">
        <v>120</v>
      </c>
      <c r="D13" s="349" t="s">
        <v>26</v>
      </c>
      <c r="E13" s="350" t="s">
        <v>52</v>
      </c>
      <c r="F13" s="546"/>
      <c r="G13" s="546"/>
      <c r="H13" s="546"/>
      <c r="I13" s="546"/>
      <c r="J13" s="546"/>
      <c r="K13" s="546"/>
      <c r="L13" s="546"/>
      <c r="M13" s="546"/>
      <c r="N13" s="546"/>
      <c r="O13" s="546"/>
      <c r="P13" s="546"/>
      <c r="Q13" s="546"/>
      <c r="R13" s="546"/>
      <c r="S13" s="546"/>
      <c r="T13" s="350" t="s">
        <v>52</v>
      </c>
      <c r="U13" s="367"/>
      <c r="V13" s="367"/>
      <c r="W13" s="367"/>
      <c r="X13" s="350" t="s">
        <v>52</v>
      </c>
      <c r="Y13" s="367"/>
      <c r="Z13" s="367"/>
      <c r="AA13" s="367"/>
      <c r="AB13" s="350" t="s">
        <v>52</v>
      </c>
      <c r="AC13" s="38"/>
      <c r="AD13" s="38"/>
    </row>
    <row r="14" spans="1:31">
      <c r="A14" s="351" t="s">
        <v>31</v>
      </c>
      <c r="B14" s="349">
        <v>1110</v>
      </c>
      <c r="C14" s="349" t="s">
        <v>26</v>
      </c>
      <c r="D14" s="349" t="s">
        <v>26</v>
      </c>
      <c r="E14" s="349" t="s">
        <v>26</v>
      </c>
      <c r="F14" s="546"/>
      <c r="G14" s="546"/>
      <c r="H14" s="546"/>
      <c r="I14" s="546"/>
      <c r="J14" s="546"/>
      <c r="K14" s="546"/>
      <c r="L14" s="546"/>
      <c r="M14" s="546"/>
      <c r="N14" s="546"/>
      <c r="O14" s="546"/>
      <c r="P14" s="546"/>
      <c r="Q14" s="546"/>
      <c r="R14" s="546"/>
      <c r="S14" s="546"/>
      <c r="T14" s="349" t="s">
        <v>26</v>
      </c>
      <c r="U14" s="367"/>
      <c r="V14" s="367"/>
      <c r="W14" s="367"/>
      <c r="X14" s="349" t="s">
        <v>26</v>
      </c>
      <c r="Y14" s="367"/>
      <c r="Z14" s="367"/>
      <c r="AA14" s="367"/>
      <c r="AB14" s="350" t="s">
        <v>26</v>
      </c>
    </row>
    <row r="15" spans="1:31">
      <c r="A15" s="886" t="s">
        <v>30</v>
      </c>
      <c r="B15" s="883">
        <v>1200</v>
      </c>
      <c r="C15" s="883">
        <v>130</v>
      </c>
      <c r="D15" s="883" t="s">
        <v>26</v>
      </c>
      <c r="E15" s="904">
        <f>E17+E18</f>
        <v>80870783.760000005</v>
      </c>
      <c r="F15" s="553"/>
      <c r="G15" s="553"/>
      <c r="H15" s="553"/>
      <c r="I15" s="553"/>
      <c r="J15" s="553"/>
      <c r="K15" s="553"/>
      <c r="L15" s="553"/>
      <c r="M15" s="553"/>
      <c r="N15" s="553"/>
      <c r="O15" s="553"/>
      <c r="P15" s="553"/>
      <c r="Q15" s="553"/>
      <c r="R15" s="553"/>
      <c r="S15" s="553"/>
      <c r="T15" s="903">
        <f>T17+11490000</f>
        <v>62676502.950000003</v>
      </c>
      <c r="U15" s="900"/>
      <c r="V15" s="900" t="str">
        <f>[1]Лист12!G299</f>
        <v>2021 год</v>
      </c>
      <c r="W15" s="900"/>
      <c r="X15" s="903">
        <f>X17+11490000</f>
        <v>57839751.079999998</v>
      </c>
      <c r="Y15" s="900">
        <f>[1]Лист12!H302</f>
        <v>12701250</v>
      </c>
      <c r="Z15" s="900">
        <f>[1]Лист12!H301</f>
        <v>46636352.270000003</v>
      </c>
      <c r="AA15" s="900"/>
      <c r="AB15" s="884" t="s">
        <v>52</v>
      </c>
    </row>
    <row r="16" spans="1:31" ht="30" customHeight="1">
      <c r="A16" s="886"/>
      <c r="B16" s="883"/>
      <c r="C16" s="883"/>
      <c r="D16" s="883"/>
      <c r="E16" s="905">
        <v>62012159.640000001</v>
      </c>
      <c r="F16" s="553"/>
      <c r="G16" s="553"/>
      <c r="H16" s="553"/>
      <c r="I16" s="553"/>
      <c r="J16" s="553"/>
      <c r="K16" s="553"/>
      <c r="L16" s="553"/>
      <c r="M16" s="553"/>
      <c r="N16" s="553"/>
      <c r="O16" s="553"/>
      <c r="P16" s="553"/>
      <c r="Q16" s="553"/>
      <c r="R16" s="553"/>
      <c r="S16" s="553"/>
      <c r="T16" s="903">
        <f t="shared" ref="T16" si="0">42206072.04+11490000</f>
        <v>53696072.039999999</v>
      </c>
      <c r="U16" s="900"/>
      <c r="V16" s="900">
        <f>[1]Лист12!G300</f>
        <v>4800</v>
      </c>
      <c r="W16" s="900"/>
      <c r="X16" s="903">
        <f t="shared" ref="X16" si="1">41798874.44+11490000</f>
        <v>53288874.439999998</v>
      </c>
      <c r="Y16" s="900"/>
      <c r="Z16" s="900"/>
      <c r="AA16" s="900"/>
      <c r="AB16" s="884"/>
      <c r="AC16" s="38"/>
      <c r="AE16" s="38"/>
    </row>
    <row r="17" spans="1:29" ht="90">
      <c r="A17" s="351" t="s">
        <v>501</v>
      </c>
      <c r="B17" s="349">
        <v>1210</v>
      </c>
      <c r="C17" s="349">
        <v>130</v>
      </c>
      <c r="D17" s="353" t="s">
        <v>26</v>
      </c>
      <c r="E17" s="355">
        <f>63505825.75+881578.95+61.05+4893379.06-61.05</f>
        <v>69280783.760000005</v>
      </c>
      <c r="F17" s="553"/>
      <c r="G17" s="553"/>
      <c r="H17" s="553"/>
      <c r="I17" s="553"/>
      <c r="J17" s="553"/>
      <c r="K17" s="553"/>
      <c r="L17" s="553"/>
      <c r="M17" s="553"/>
      <c r="N17" s="553"/>
      <c r="O17" s="553"/>
      <c r="P17" s="553"/>
      <c r="Q17" s="553"/>
      <c r="R17" s="553"/>
      <c r="S17" s="553"/>
      <c r="T17" s="355">
        <v>51186502.950000003</v>
      </c>
      <c r="U17" s="354"/>
      <c r="V17" s="354">
        <f>[1]Лист12!G301</f>
        <v>46508233.899999999</v>
      </c>
      <c r="W17" s="354"/>
      <c r="X17" s="355">
        <v>46349751.079999998</v>
      </c>
      <c r="Y17" s="354"/>
      <c r="Z17" s="354">
        <f>[1]Лист12!H301</f>
        <v>46636352.270000003</v>
      </c>
      <c r="AA17" s="354"/>
      <c r="AB17" s="350" t="s">
        <v>52</v>
      </c>
    </row>
    <row r="18" spans="1:29" s="120" customFormat="1" ht="30">
      <c r="A18" s="820" t="s">
        <v>949</v>
      </c>
      <c r="B18" s="818">
        <v>1230</v>
      </c>
      <c r="C18" s="818">
        <v>130</v>
      </c>
      <c r="D18" s="821" t="s">
        <v>26</v>
      </c>
      <c r="E18" s="823">
        <f>11590000+200000-200000</f>
        <v>11590000</v>
      </c>
      <c r="F18" s="553"/>
      <c r="G18" s="553"/>
      <c r="H18" s="553"/>
      <c r="I18" s="553"/>
      <c r="J18" s="553"/>
      <c r="K18" s="553"/>
      <c r="L18" s="553"/>
      <c r="M18" s="553"/>
      <c r="N18" s="553"/>
      <c r="O18" s="553"/>
      <c r="P18" s="553"/>
      <c r="Q18" s="553"/>
      <c r="R18" s="553"/>
      <c r="S18" s="553"/>
      <c r="T18" s="823">
        <v>11490000</v>
      </c>
      <c r="U18" s="822"/>
      <c r="V18" s="822"/>
      <c r="W18" s="822"/>
      <c r="X18" s="823">
        <v>11490000</v>
      </c>
      <c r="Y18" s="822"/>
      <c r="Z18" s="822"/>
      <c r="AA18" s="822"/>
      <c r="AB18" s="819" t="s">
        <v>52</v>
      </c>
      <c r="AC18" s="38"/>
    </row>
    <row r="19" spans="1:29" ht="29.25" customHeight="1">
      <c r="A19" s="351" t="s">
        <v>54</v>
      </c>
      <c r="B19" s="349">
        <v>1300</v>
      </c>
      <c r="C19" s="349">
        <v>140</v>
      </c>
      <c r="D19" s="353" t="s">
        <v>26</v>
      </c>
      <c r="E19" s="355" t="s">
        <v>52</v>
      </c>
      <c r="F19" s="553"/>
      <c r="G19" s="553"/>
      <c r="H19" s="553"/>
      <c r="I19" s="553"/>
      <c r="J19" s="553"/>
      <c r="K19" s="553"/>
      <c r="L19" s="553"/>
      <c r="M19" s="553"/>
      <c r="N19" s="553"/>
      <c r="O19" s="553"/>
      <c r="P19" s="553"/>
      <c r="Q19" s="553"/>
      <c r="R19" s="553"/>
      <c r="S19" s="553"/>
      <c r="T19" s="355" t="s">
        <v>52</v>
      </c>
      <c r="U19" s="354"/>
      <c r="V19" s="354"/>
      <c r="W19" s="354"/>
      <c r="X19" s="355" t="s">
        <v>52</v>
      </c>
      <c r="Y19" s="354"/>
      <c r="Z19" s="354"/>
      <c r="AA19" s="354"/>
      <c r="AB19" s="350" t="s">
        <v>52</v>
      </c>
      <c r="AC19" s="38"/>
    </row>
    <row r="20" spans="1:29" ht="12" customHeight="1">
      <c r="A20" s="886" t="s">
        <v>31</v>
      </c>
      <c r="B20" s="883">
        <v>1310</v>
      </c>
      <c r="C20" s="883">
        <v>140</v>
      </c>
      <c r="D20" s="883" t="s">
        <v>26</v>
      </c>
      <c r="E20" s="901" t="s">
        <v>26</v>
      </c>
      <c r="F20" s="553"/>
      <c r="G20" s="553"/>
      <c r="H20" s="553"/>
      <c r="I20" s="553"/>
      <c r="J20" s="553"/>
      <c r="K20" s="553"/>
      <c r="L20" s="553"/>
      <c r="M20" s="553"/>
      <c r="N20" s="553"/>
      <c r="O20" s="553"/>
      <c r="P20" s="553"/>
      <c r="Q20" s="553"/>
      <c r="R20" s="553"/>
      <c r="S20" s="553"/>
      <c r="T20" s="903" t="s">
        <v>26</v>
      </c>
      <c r="U20" s="354"/>
      <c r="V20" s="354"/>
      <c r="W20" s="354"/>
      <c r="X20" s="903" t="s">
        <v>26</v>
      </c>
      <c r="Y20" s="354"/>
      <c r="Z20" s="354"/>
      <c r="AA20" s="354"/>
      <c r="AB20" s="884" t="s">
        <v>26</v>
      </c>
    </row>
    <row r="21" spans="1:29">
      <c r="A21" s="886"/>
      <c r="B21" s="883"/>
      <c r="C21" s="883"/>
      <c r="D21" s="883"/>
      <c r="E21" s="902"/>
      <c r="F21" s="553"/>
      <c r="G21" s="553"/>
      <c r="H21" s="553"/>
      <c r="I21" s="553"/>
      <c r="J21" s="553"/>
      <c r="K21" s="553"/>
      <c r="L21" s="553"/>
      <c r="M21" s="553"/>
      <c r="N21" s="553"/>
      <c r="O21" s="553"/>
      <c r="P21" s="553"/>
      <c r="Q21" s="553"/>
      <c r="R21" s="553"/>
      <c r="S21" s="553"/>
      <c r="T21" s="903"/>
      <c r="U21" s="354"/>
      <c r="V21" s="354"/>
      <c r="W21" s="354"/>
      <c r="X21" s="903"/>
      <c r="Y21" s="354"/>
      <c r="Z21" s="354"/>
      <c r="AA21" s="354"/>
      <c r="AB21" s="884"/>
      <c r="AC21" s="38"/>
    </row>
    <row r="22" spans="1:29" s="35" customFormat="1" ht="30">
      <c r="A22" s="365" t="s">
        <v>55</v>
      </c>
      <c r="B22" s="357">
        <v>1400</v>
      </c>
      <c r="C22" s="357">
        <v>150</v>
      </c>
      <c r="D22" s="358" t="s">
        <v>26</v>
      </c>
      <c r="E22" s="360">
        <f>E23+E32</f>
        <v>1012833.85</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52</v>
      </c>
      <c r="AC22" s="876"/>
    </row>
    <row r="23" spans="1:29" ht="30" customHeight="1">
      <c r="A23" s="351" t="s">
        <v>502</v>
      </c>
      <c r="B23" s="349">
        <v>1410</v>
      </c>
      <c r="C23" s="349">
        <v>150</v>
      </c>
      <c r="D23" s="353" t="s">
        <v>26</v>
      </c>
      <c r="E23" s="355">
        <f>790000+200000</f>
        <v>990000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52</v>
      </c>
      <c r="AC23" s="38"/>
    </row>
    <row r="24" spans="1:29" ht="31.5" customHeight="1">
      <c r="A24" s="351" t="s">
        <v>56</v>
      </c>
      <c r="B24" s="349">
        <v>1420</v>
      </c>
      <c r="C24" s="349">
        <v>150</v>
      </c>
      <c r="D24" s="353" t="s">
        <v>26</v>
      </c>
      <c r="E24" s="350" t="s">
        <v>52</v>
      </c>
      <c r="F24" s="554"/>
      <c r="G24" s="554"/>
      <c r="H24" s="554"/>
      <c r="I24" s="554"/>
      <c r="J24" s="554"/>
      <c r="K24" s="554"/>
      <c r="L24" s="554"/>
      <c r="M24" s="554"/>
      <c r="N24" s="554"/>
      <c r="O24" s="554"/>
      <c r="P24" s="554"/>
      <c r="Q24" s="554"/>
      <c r="R24" s="554"/>
      <c r="S24" s="554"/>
      <c r="T24" s="350" t="s">
        <v>52</v>
      </c>
      <c r="U24" s="350" t="s">
        <v>52</v>
      </c>
      <c r="V24" s="350" t="s">
        <v>52</v>
      </c>
      <c r="W24" s="350" t="s">
        <v>52</v>
      </c>
      <c r="X24" s="350" t="s">
        <v>52</v>
      </c>
      <c r="Y24" s="350" t="s">
        <v>52</v>
      </c>
      <c r="Z24" s="350" t="s">
        <v>52</v>
      </c>
      <c r="AA24" s="350" t="s">
        <v>52</v>
      </c>
      <c r="AB24" s="350" t="s">
        <v>52</v>
      </c>
      <c r="AC24" s="38"/>
    </row>
    <row r="25" spans="1:29">
      <c r="A25" s="886" t="s">
        <v>57</v>
      </c>
      <c r="B25" s="883">
        <v>1500</v>
      </c>
      <c r="C25" s="883">
        <v>180</v>
      </c>
      <c r="D25" s="883" t="s">
        <v>26</v>
      </c>
      <c r="E25" s="901" t="s">
        <v>52</v>
      </c>
      <c r="F25" s="553"/>
      <c r="G25" s="553"/>
      <c r="H25" s="553"/>
      <c r="I25" s="553"/>
      <c r="J25" s="553"/>
      <c r="K25" s="553"/>
      <c r="L25" s="553"/>
      <c r="M25" s="553"/>
      <c r="N25" s="553"/>
      <c r="O25" s="553"/>
      <c r="P25" s="553"/>
      <c r="Q25" s="553"/>
      <c r="R25" s="553"/>
      <c r="S25" s="553"/>
      <c r="T25" s="903" t="s">
        <v>52</v>
      </c>
      <c r="U25" s="900"/>
      <c r="V25" s="900"/>
      <c r="W25" s="900"/>
      <c r="X25" s="903" t="s">
        <v>52</v>
      </c>
      <c r="Y25" s="900"/>
      <c r="Z25" s="900"/>
      <c r="AA25" s="900">
        <f>[1]Лист12!H300</f>
        <v>7200</v>
      </c>
      <c r="AB25" s="884" t="s">
        <v>52</v>
      </c>
      <c r="AC25" s="38"/>
    </row>
    <row r="26" spans="1:29" ht="8.25" customHeight="1">
      <c r="A26" s="886"/>
      <c r="B26" s="883"/>
      <c r="C26" s="883"/>
      <c r="D26" s="883"/>
      <c r="E26" s="906"/>
      <c r="F26" s="553"/>
      <c r="G26" s="553"/>
      <c r="H26" s="553"/>
      <c r="I26" s="553"/>
      <c r="J26" s="553"/>
      <c r="K26" s="553"/>
      <c r="L26" s="553"/>
      <c r="M26" s="553"/>
      <c r="N26" s="553"/>
      <c r="O26" s="553"/>
      <c r="P26" s="553"/>
      <c r="Q26" s="553"/>
      <c r="R26" s="553"/>
      <c r="S26" s="553"/>
      <c r="T26" s="903"/>
      <c r="U26" s="900"/>
      <c r="V26" s="900"/>
      <c r="W26" s="900"/>
      <c r="X26" s="903"/>
      <c r="Y26" s="900"/>
      <c r="Z26" s="900"/>
      <c r="AA26" s="900"/>
      <c r="AB26" s="884"/>
    </row>
    <row r="27" spans="1:29" ht="23.25" customHeight="1">
      <c r="A27" s="886"/>
      <c r="B27" s="883"/>
      <c r="C27" s="883"/>
      <c r="D27" s="883"/>
      <c r="E27" s="902"/>
      <c r="F27" s="553"/>
      <c r="G27" s="553"/>
      <c r="H27" s="553"/>
      <c r="I27" s="553"/>
      <c r="J27" s="553"/>
      <c r="K27" s="553"/>
      <c r="L27" s="553"/>
      <c r="M27" s="553"/>
      <c r="N27" s="553"/>
      <c r="O27" s="553"/>
      <c r="P27" s="553"/>
      <c r="Q27" s="553"/>
      <c r="R27" s="553"/>
      <c r="S27" s="553"/>
      <c r="T27" s="903"/>
      <c r="U27" s="900"/>
      <c r="V27" s="900"/>
      <c r="W27" s="900"/>
      <c r="X27" s="903"/>
      <c r="Y27" s="900"/>
      <c r="Z27" s="900"/>
      <c r="AA27" s="900"/>
      <c r="AB27" s="884"/>
    </row>
    <row r="28" spans="1:29" ht="14.25" customHeight="1">
      <c r="A28" s="882" t="s">
        <v>503</v>
      </c>
      <c r="B28" s="883">
        <v>1900</v>
      </c>
      <c r="C28" s="883" t="s">
        <v>26</v>
      </c>
      <c r="D28" s="883" t="s">
        <v>26</v>
      </c>
      <c r="E28" s="901">
        <f>E36</f>
        <v>22833.85</v>
      </c>
      <c r="F28" s="555"/>
      <c r="G28" s="555"/>
      <c r="H28" s="555"/>
      <c r="I28" s="555"/>
      <c r="J28" s="555"/>
      <c r="K28" s="555"/>
      <c r="L28" s="555"/>
      <c r="M28" s="555"/>
      <c r="N28" s="555"/>
      <c r="O28" s="555"/>
      <c r="P28" s="555"/>
      <c r="Q28" s="555"/>
      <c r="R28" s="555"/>
      <c r="S28" s="555"/>
      <c r="T28" s="901">
        <f>T36</f>
        <v>0</v>
      </c>
      <c r="U28" s="367"/>
      <c r="V28" s="367"/>
      <c r="W28" s="367"/>
      <c r="X28" s="901">
        <f>X36</f>
        <v>0</v>
      </c>
      <c r="Y28" s="367"/>
      <c r="Z28" s="367"/>
      <c r="AA28" s="367"/>
      <c r="AB28" s="884" t="s">
        <v>52</v>
      </c>
    </row>
    <row r="29" spans="1:29" ht="15.75" customHeight="1">
      <c r="A29" s="882"/>
      <c r="B29" s="883"/>
      <c r="C29" s="883"/>
      <c r="D29" s="883"/>
      <c r="E29" s="902"/>
      <c r="F29" s="547"/>
      <c r="G29" s="547"/>
      <c r="H29" s="547"/>
      <c r="I29" s="547"/>
      <c r="J29" s="547"/>
      <c r="K29" s="547"/>
      <c r="L29" s="547"/>
      <c r="M29" s="547"/>
      <c r="N29" s="547"/>
      <c r="O29" s="547"/>
      <c r="P29" s="547"/>
      <c r="Q29" s="547"/>
      <c r="R29" s="547"/>
      <c r="S29" s="547"/>
      <c r="T29" s="902"/>
      <c r="U29" s="367"/>
      <c r="V29" s="367"/>
      <c r="W29" s="367"/>
      <c r="X29" s="902"/>
      <c r="Y29" s="367"/>
      <c r="Z29" s="367"/>
      <c r="AA29" s="367"/>
      <c r="AB29" s="884"/>
    </row>
    <row r="30" spans="1:29" ht="13.5" customHeight="1">
      <c r="A30" s="882" t="s">
        <v>31</v>
      </c>
      <c r="B30" s="883"/>
      <c r="C30" s="883"/>
      <c r="D30" s="883"/>
      <c r="E30" s="890"/>
      <c r="F30" s="555"/>
      <c r="G30" s="555"/>
      <c r="H30" s="555"/>
      <c r="I30" s="555"/>
      <c r="J30" s="555"/>
      <c r="K30" s="555"/>
      <c r="L30" s="555"/>
      <c r="M30" s="555"/>
      <c r="N30" s="555"/>
      <c r="O30" s="555"/>
      <c r="P30" s="555"/>
      <c r="Q30" s="555"/>
      <c r="R30" s="555"/>
      <c r="S30" s="555"/>
      <c r="T30" s="890"/>
      <c r="U30" s="367"/>
      <c r="V30" s="367"/>
      <c r="W30" s="367"/>
      <c r="X30" s="890"/>
      <c r="Y30" s="367"/>
      <c r="Z30" s="367"/>
      <c r="AA30" s="367"/>
      <c r="AB30" s="884"/>
    </row>
    <row r="31" spans="1:29" ht="3.75" customHeight="1">
      <c r="A31" s="882"/>
      <c r="B31" s="883"/>
      <c r="C31" s="883"/>
      <c r="D31" s="883"/>
      <c r="E31" s="891"/>
      <c r="F31" s="547"/>
      <c r="G31" s="547"/>
      <c r="H31" s="547"/>
      <c r="I31" s="547"/>
      <c r="J31" s="547"/>
      <c r="K31" s="547"/>
      <c r="L31" s="547"/>
      <c r="M31" s="547"/>
      <c r="N31" s="547"/>
      <c r="O31" s="547"/>
      <c r="P31" s="547"/>
      <c r="Q31" s="547"/>
      <c r="R31" s="547"/>
      <c r="S31" s="547"/>
      <c r="T31" s="891"/>
      <c r="U31" s="367"/>
      <c r="V31" s="367"/>
      <c r="W31" s="367"/>
      <c r="X31" s="891"/>
      <c r="Y31" s="367"/>
      <c r="Z31" s="367"/>
      <c r="AA31" s="367"/>
      <c r="AB31" s="884"/>
    </row>
    <row r="32" spans="1:29" ht="2.25" customHeight="1">
      <c r="A32" s="886" t="s">
        <v>58</v>
      </c>
      <c r="B32" s="883">
        <v>1980</v>
      </c>
      <c r="C32" s="883">
        <v>510</v>
      </c>
      <c r="D32" s="883" t="s">
        <v>26</v>
      </c>
      <c r="E32" s="901">
        <f>E36</f>
        <v>22833.85</v>
      </c>
      <c r="F32" s="555"/>
      <c r="G32" s="555"/>
      <c r="H32" s="555"/>
      <c r="I32" s="555"/>
      <c r="J32" s="555"/>
      <c r="K32" s="555"/>
      <c r="L32" s="555"/>
      <c r="M32" s="555"/>
      <c r="N32" s="555"/>
      <c r="O32" s="555"/>
      <c r="P32" s="555"/>
      <c r="Q32" s="555"/>
      <c r="R32" s="555"/>
      <c r="S32" s="555"/>
      <c r="T32" s="901">
        <f>T36</f>
        <v>0</v>
      </c>
      <c r="U32" s="367"/>
      <c r="V32" s="367"/>
      <c r="W32" s="367"/>
      <c r="X32" s="901">
        <f>X36</f>
        <v>0</v>
      </c>
      <c r="Y32" s="367"/>
      <c r="Z32" s="367"/>
      <c r="AA32" s="367"/>
      <c r="AB32" s="884" t="s">
        <v>52</v>
      </c>
    </row>
    <row r="33" spans="1:29">
      <c r="A33" s="886"/>
      <c r="B33" s="883"/>
      <c r="C33" s="883"/>
      <c r="D33" s="883"/>
      <c r="E33" s="906"/>
      <c r="F33" s="556"/>
      <c r="G33" s="556"/>
      <c r="H33" s="556"/>
      <c r="I33" s="556"/>
      <c r="J33" s="556"/>
      <c r="K33" s="556"/>
      <c r="L33" s="556"/>
      <c r="M33" s="556"/>
      <c r="N33" s="556"/>
      <c r="O33" s="556"/>
      <c r="P33" s="556"/>
      <c r="Q33" s="556"/>
      <c r="R33" s="556"/>
      <c r="S33" s="556"/>
      <c r="T33" s="906"/>
      <c r="U33" s="367"/>
      <c r="V33" s="367"/>
      <c r="W33" s="367"/>
      <c r="X33" s="906"/>
      <c r="Y33" s="367"/>
      <c r="Z33" s="367"/>
      <c r="AA33" s="367"/>
      <c r="AB33" s="884"/>
    </row>
    <row r="34" spans="1:29" ht="8.25" customHeight="1">
      <c r="A34" s="886"/>
      <c r="B34" s="883"/>
      <c r="C34" s="883"/>
      <c r="D34" s="883"/>
      <c r="E34" s="902"/>
      <c r="F34" s="547"/>
      <c r="G34" s="547"/>
      <c r="H34" s="547"/>
      <c r="I34" s="547"/>
      <c r="J34" s="547"/>
      <c r="K34" s="547"/>
      <c r="L34" s="547"/>
      <c r="M34" s="547"/>
      <c r="N34" s="547"/>
      <c r="O34" s="547"/>
      <c r="P34" s="547"/>
      <c r="Q34" s="547"/>
      <c r="R34" s="547"/>
      <c r="S34" s="547"/>
      <c r="T34" s="902"/>
      <c r="U34" s="367"/>
      <c r="V34" s="367"/>
      <c r="W34" s="367"/>
      <c r="X34" s="902"/>
      <c r="Y34" s="367"/>
      <c r="Z34" s="367"/>
      <c r="AA34" s="367"/>
      <c r="AB34" s="884"/>
    </row>
    <row r="35" spans="1:29" s="196" customFormat="1" hidden="1">
      <c r="A35" s="191" t="s">
        <v>59</v>
      </c>
      <c r="B35" s="214" t="s">
        <v>26</v>
      </c>
      <c r="C35" s="192" t="s">
        <v>26</v>
      </c>
      <c r="D35" s="192" t="s">
        <v>26</v>
      </c>
      <c r="E35" s="192" t="s">
        <v>26</v>
      </c>
      <c r="F35" s="546"/>
      <c r="G35" s="546"/>
      <c r="H35" s="546"/>
      <c r="I35" s="546"/>
      <c r="J35" s="546"/>
      <c r="K35" s="546"/>
      <c r="L35" s="546"/>
      <c r="M35" s="546"/>
      <c r="N35" s="546"/>
      <c r="O35" s="546"/>
      <c r="P35" s="546"/>
      <c r="Q35" s="546"/>
      <c r="R35" s="546"/>
      <c r="S35" s="546"/>
      <c r="T35" s="192" t="s">
        <v>26</v>
      </c>
      <c r="U35" s="213"/>
      <c r="V35" s="213"/>
      <c r="W35" s="213"/>
      <c r="X35" s="192" t="s">
        <v>26</v>
      </c>
      <c r="Y35" s="213"/>
      <c r="Z35" s="213"/>
      <c r="AA35" s="213"/>
      <c r="AB35" s="195" t="s">
        <v>26</v>
      </c>
    </row>
    <row r="36" spans="1:29" ht="60" hidden="1">
      <c r="A36" s="185" t="s">
        <v>515</v>
      </c>
      <c r="B36" s="186">
        <v>1981</v>
      </c>
      <c r="C36" s="186">
        <v>510</v>
      </c>
      <c r="D36" s="186" t="s">
        <v>26</v>
      </c>
      <c r="E36" s="187">
        <v>22833.85</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52</v>
      </c>
    </row>
    <row r="37" spans="1:29" ht="46.5" hidden="1" customHeight="1">
      <c r="A37" s="185" t="s">
        <v>60</v>
      </c>
      <c r="B37" s="186">
        <v>1982</v>
      </c>
      <c r="C37" s="186">
        <v>510</v>
      </c>
      <c r="D37" s="186" t="s">
        <v>26</v>
      </c>
      <c r="E37" s="186" t="s">
        <v>52</v>
      </c>
      <c r="F37" s="546"/>
      <c r="G37" s="546"/>
      <c r="H37" s="546"/>
      <c r="I37" s="546"/>
      <c r="J37" s="546"/>
      <c r="K37" s="546"/>
      <c r="L37" s="546"/>
      <c r="M37" s="546"/>
      <c r="N37" s="546"/>
      <c r="O37" s="546"/>
      <c r="P37" s="546"/>
      <c r="Q37" s="546"/>
      <c r="R37" s="546"/>
      <c r="S37" s="546"/>
      <c r="T37" s="186" t="s">
        <v>52</v>
      </c>
      <c r="U37" s="188"/>
      <c r="V37" s="188"/>
      <c r="W37" s="188"/>
      <c r="X37" s="186" t="s">
        <v>52</v>
      </c>
      <c r="Y37" s="188"/>
      <c r="Z37" s="188"/>
      <c r="AA37" s="188"/>
      <c r="AB37" s="189" t="s">
        <v>52</v>
      </c>
      <c r="AC37" s="38"/>
    </row>
    <row r="38" spans="1:29" s="35" customFormat="1">
      <c r="A38" s="915" t="s">
        <v>32</v>
      </c>
      <c r="B38" s="910">
        <v>2000</v>
      </c>
      <c r="C38" s="910" t="s">
        <v>26</v>
      </c>
      <c r="D38" s="910" t="s">
        <v>26</v>
      </c>
      <c r="E38" s="907">
        <f>E40+E71+E95</f>
        <v>83316193.599999994</v>
      </c>
      <c r="F38" s="521"/>
      <c r="G38" s="521"/>
      <c r="H38" s="521"/>
      <c r="I38" s="521"/>
      <c r="J38" s="521"/>
      <c r="K38" s="521"/>
      <c r="L38" s="521"/>
      <c r="M38" s="521"/>
      <c r="N38" s="521"/>
      <c r="O38" s="521"/>
      <c r="P38" s="521"/>
      <c r="Q38" s="521"/>
      <c r="R38" s="521"/>
      <c r="S38" s="521"/>
      <c r="T38" s="909">
        <f>T40+T71+T95</f>
        <v>62676502.950000003</v>
      </c>
      <c r="U38" s="909">
        <f>U40+U71+U95</f>
        <v>32940680.120000001</v>
      </c>
      <c r="V38" s="909">
        <f>V40+V71+V95</f>
        <v>42017660.240000002</v>
      </c>
      <c r="W38" s="909">
        <f>W40+W71+W95</f>
        <v>30798800.93</v>
      </c>
      <c r="X38" s="909">
        <f>X40+X71+X95</f>
        <v>57839751.079999998</v>
      </c>
      <c r="Y38" s="912" t="e">
        <f>Y40+Y62+Y71+#REF!+Y80</f>
        <v>#REF!</v>
      </c>
      <c r="Z38" s="912" t="e">
        <f>Z40+Z62+Z71+#REF!+Z80</f>
        <v>#REF!</v>
      </c>
      <c r="AA38" s="912" t="e">
        <f>AA40+AA62+AA71+#REF!+AA80</f>
        <v>#REF!</v>
      </c>
      <c r="AB38" s="914" t="s">
        <v>52</v>
      </c>
    </row>
    <row r="39" spans="1:29" s="35" customFormat="1">
      <c r="A39" s="915"/>
      <c r="B39" s="910"/>
      <c r="C39" s="910"/>
      <c r="D39" s="910"/>
      <c r="E39" s="908"/>
      <c r="F39" s="522"/>
      <c r="G39" s="522"/>
      <c r="H39" s="522"/>
      <c r="I39" s="522"/>
      <c r="J39" s="522"/>
      <c r="K39" s="522"/>
      <c r="L39" s="522"/>
      <c r="M39" s="522"/>
      <c r="N39" s="522"/>
      <c r="O39" s="522"/>
      <c r="P39" s="522"/>
      <c r="Q39" s="522"/>
      <c r="R39" s="522"/>
      <c r="S39" s="522"/>
      <c r="T39" s="910"/>
      <c r="U39" s="910"/>
      <c r="V39" s="910"/>
      <c r="W39" s="910"/>
      <c r="X39" s="910"/>
      <c r="Y39" s="913"/>
      <c r="Z39" s="913"/>
      <c r="AA39" s="913"/>
      <c r="AB39" s="914"/>
    </row>
    <row r="40" spans="1:29" s="35" customFormat="1">
      <c r="A40" s="915" t="s">
        <v>504</v>
      </c>
      <c r="B40" s="910">
        <v>2100</v>
      </c>
      <c r="C40" s="910" t="s">
        <v>26</v>
      </c>
      <c r="D40" s="910" t="s">
        <v>26</v>
      </c>
      <c r="E40" s="916">
        <f>E43+E47+E56</f>
        <v>57970884.659999996</v>
      </c>
      <c r="F40" s="523"/>
      <c r="G40" s="523"/>
      <c r="H40" s="523"/>
      <c r="I40" s="523"/>
      <c r="J40" s="523"/>
      <c r="K40" s="523"/>
      <c r="L40" s="523"/>
      <c r="M40" s="523"/>
      <c r="N40" s="523"/>
      <c r="O40" s="523"/>
      <c r="P40" s="523"/>
      <c r="Q40" s="523"/>
      <c r="R40" s="523"/>
      <c r="S40" s="523"/>
      <c r="T40" s="911">
        <f>T43+T47+T56</f>
        <v>39724755.020000003</v>
      </c>
      <c r="U40" s="911">
        <f>U43+U47+U56</f>
        <v>32913410.559999999</v>
      </c>
      <c r="V40" s="911">
        <f>V43+V47+V56</f>
        <v>37800906.619999997</v>
      </c>
      <c r="W40" s="911">
        <f>W43+W47+W56</f>
        <v>30779099.93</v>
      </c>
      <c r="X40" s="911">
        <f>X43+X47+X56</f>
        <v>42659222.850000001</v>
      </c>
      <c r="Y40" s="911">
        <f>Y43+Y45+Y46+Y47+Y56</f>
        <v>7911517.0099999998</v>
      </c>
      <c r="Z40" s="911">
        <f>Z43+Z45+Z46+Z47+Z56</f>
        <v>36435442.5</v>
      </c>
      <c r="AA40" s="911">
        <f>AA43+AA45+AA46+AA47+AA56</f>
        <v>7200</v>
      </c>
      <c r="AB40" s="914" t="s">
        <v>52</v>
      </c>
    </row>
    <row r="41" spans="1:29" s="35" customFormat="1">
      <c r="A41" s="915"/>
      <c r="B41" s="910"/>
      <c r="C41" s="910"/>
      <c r="D41" s="910"/>
      <c r="E41" s="917"/>
      <c r="F41" s="522"/>
      <c r="G41" s="522"/>
      <c r="H41" s="522"/>
      <c r="I41" s="522"/>
      <c r="J41" s="522"/>
      <c r="K41" s="522"/>
      <c r="L41" s="522"/>
      <c r="M41" s="522"/>
      <c r="N41" s="522"/>
      <c r="O41" s="522"/>
      <c r="P41" s="522"/>
      <c r="Q41" s="522"/>
      <c r="R41" s="522"/>
      <c r="S41" s="522"/>
      <c r="T41" s="910"/>
      <c r="U41" s="910"/>
      <c r="V41" s="910"/>
      <c r="W41" s="910"/>
      <c r="X41" s="910"/>
      <c r="Y41" s="910"/>
      <c r="Z41" s="910"/>
      <c r="AA41" s="910"/>
      <c r="AB41" s="914"/>
    </row>
    <row r="42" spans="1:29" s="196" customFormat="1" hidden="1">
      <c r="A42" s="191" t="s">
        <v>31</v>
      </c>
      <c r="B42" s="192" t="s">
        <v>26</v>
      </c>
      <c r="C42" s="192" t="s">
        <v>26</v>
      </c>
      <c r="D42" s="192" t="s">
        <v>26</v>
      </c>
      <c r="E42" s="192" t="s">
        <v>26</v>
      </c>
      <c r="F42" s="561"/>
      <c r="G42" s="561"/>
      <c r="H42" s="561"/>
      <c r="I42" s="561"/>
      <c r="J42" s="561"/>
      <c r="K42" s="561"/>
      <c r="L42" s="561"/>
      <c r="M42" s="561"/>
      <c r="N42" s="561"/>
      <c r="O42" s="561"/>
      <c r="P42" s="561"/>
      <c r="Q42" s="561"/>
      <c r="R42" s="561"/>
      <c r="S42" s="561"/>
      <c r="T42" s="192" t="s">
        <v>26</v>
      </c>
      <c r="U42" s="213"/>
      <c r="V42" s="213"/>
      <c r="W42" s="213"/>
      <c r="X42" s="192" t="s">
        <v>26</v>
      </c>
      <c r="Y42" s="213"/>
      <c r="Z42" s="213"/>
      <c r="AA42" s="213"/>
      <c r="AB42" s="195" t="s">
        <v>26</v>
      </c>
    </row>
    <row r="43" spans="1:29" s="35" customFormat="1">
      <c r="A43" s="915" t="s">
        <v>514</v>
      </c>
      <c r="B43" s="918">
        <v>2110</v>
      </c>
      <c r="C43" s="910">
        <v>111</v>
      </c>
      <c r="D43" s="919" t="s">
        <v>529</v>
      </c>
      <c r="E43" s="916">
        <f>E45+E46</f>
        <v>43319734.840000004</v>
      </c>
      <c r="F43" s="520"/>
      <c r="G43" s="520"/>
      <c r="H43" s="520"/>
      <c r="I43" s="520"/>
      <c r="J43" s="520"/>
      <c r="K43" s="520"/>
      <c r="L43" s="520"/>
      <c r="M43" s="520"/>
      <c r="N43" s="520"/>
      <c r="O43" s="520"/>
      <c r="P43" s="520"/>
      <c r="Q43" s="520"/>
      <c r="R43" s="520"/>
      <c r="S43" s="520"/>
      <c r="T43" s="911">
        <f>T45+T46</f>
        <v>29809968.460000001</v>
      </c>
      <c r="U43" s="911">
        <f>U45+U46</f>
        <v>29314701.91</v>
      </c>
      <c r="V43" s="911">
        <f>V45+V46</f>
        <v>28424163.699999999</v>
      </c>
      <c r="W43" s="911">
        <f>W45+W46</f>
        <v>29649271.91</v>
      </c>
      <c r="X43" s="911">
        <f>X45+X46</f>
        <v>32015747.210000001</v>
      </c>
      <c r="Y43" s="920">
        <f>[1]Лист5!N79</f>
        <v>5207036.58</v>
      </c>
      <c r="Z43" s="920">
        <f>[1]Лист5!N57</f>
        <v>27124887.949999999</v>
      </c>
      <c r="AA43" s="920">
        <v>0</v>
      </c>
      <c r="AB43" s="914" t="s">
        <v>52</v>
      </c>
    </row>
    <row r="44" spans="1:29" s="35" customFormat="1">
      <c r="A44" s="915"/>
      <c r="B44" s="918"/>
      <c r="C44" s="910"/>
      <c r="D44" s="919"/>
      <c r="E44" s="917"/>
      <c r="F44" s="520"/>
      <c r="G44" s="520"/>
      <c r="H44" s="520"/>
      <c r="I44" s="520"/>
      <c r="J44" s="520"/>
      <c r="K44" s="520"/>
      <c r="L44" s="520"/>
      <c r="M44" s="520"/>
      <c r="N44" s="520"/>
      <c r="O44" s="520"/>
      <c r="P44" s="520"/>
      <c r="Q44" s="520"/>
      <c r="R44" s="520"/>
      <c r="S44" s="520"/>
      <c r="T44" s="911"/>
      <c r="U44" s="911"/>
      <c r="V44" s="911"/>
      <c r="W44" s="911"/>
      <c r="X44" s="911"/>
      <c r="Y44" s="920"/>
      <c r="Z44" s="920"/>
      <c r="AA44" s="920"/>
      <c r="AB44" s="914"/>
    </row>
    <row r="45" spans="1:29" s="150" customFormat="1" hidden="1">
      <c r="A45" s="235" t="s">
        <v>500</v>
      </c>
      <c r="B45" s="228">
        <v>2111</v>
      </c>
      <c r="C45" s="236">
        <v>111</v>
      </c>
      <c r="D45" s="236">
        <v>211</v>
      </c>
      <c r="E45" s="243">
        <f>37961413.68+F45+I45+170603.94+3589864.03+104338.89</f>
        <v>43095804.020000003</v>
      </c>
      <c r="F45" s="520">
        <f>G45+H45</f>
        <v>890702</v>
      </c>
      <c r="G45" s="520">
        <v>890702</v>
      </c>
      <c r="H45" s="520">
        <v>0</v>
      </c>
      <c r="I45" s="520">
        <f>J45+K45</f>
        <v>378881.48</v>
      </c>
      <c r="J45" s="520">
        <v>6000</v>
      </c>
      <c r="K45" s="520">
        <v>372881.48</v>
      </c>
      <c r="L45" s="520"/>
      <c r="M45" s="520"/>
      <c r="N45" s="520"/>
      <c r="O45" s="520"/>
      <c r="P45" s="520"/>
      <c r="Q45" s="520"/>
      <c r="R45" s="520"/>
      <c r="S45" s="520"/>
      <c r="T45" s="243">
        <v>29736566.350000001</v>
      </c>
      <c r="U45" s="244">
        <v>29228901.91</v>
      </c>
      <c r="V45" s="244">
        <v>28338363.699999999</v>
      </c>
      <c r="W45" s="244">
        <v>29563471.91</v>
      </c>
      <c r="X45" s="243">
        <v>32015747.210000001</v>
      </c>
      <c r="Y45" s="244">
        <v>3000</v>
      </c>
      <c r="Z45" s="244">
        <v>94000</v>
      </c>
      <c r="AA45" s="244">
        <v>0</v>
      </c>
      <c r="AB45" s="240" t="s">
        <v>52</v>
      </c>
    </row>
    <row r="46" spans="1:29" s="150" customFormat="1" ht="30" hidden="1">
      <c r="A46" s="235" t="s">
        <v>61</v>
      </c>
      <c r="B46" s="228">
        <v>2112</v>
      </c>
      <c r="C46" s="236">
        <v>111</v>
      </c>
      <c r="D46" s="236">
        <v>266</v>
      </c>
      <c r="E46" s="243">
        <f>414998.65-239575.07+18507.24+30000</f>
        <v>223930.82</v>
      </c>
      <c r="F46" s="520"/>
      <c r="G46" s="520"/>
      <c r="H46" s="520"/>
      <c r="I46" s="520"/>
      <c r="J46" s="520"/>
      <c r="K46" s="520"/>
      <c r="L46" s="520"/>
      <c r="M46" s="520"/>
      <c r="N46" s="520"/>
      <c r="O46" s="520"/>
      <c r="P46" s="520"/>
      <c r="Q46" s="520"/>
      <c r="R46" s="520"/>
      <c r="S46" s="520"/>
      <c r="T46" s="243">
        <v>73402.11</v>
      </c>
      <c r="U46" s="244">
        <v>85800</v>
      </c>
      <c r="V46" s="244">
        <v>85800</v>
      </c>
      <c r="W46" s="244">
        <v>85800</v>
      </c>
      <c r="X46" s="243">
        <v>0</v>
      </c>
      <c r="Y46" s="244">
        <v>19800</v>
      </c>
      <c r="Z46" s="244">
        <v>19800</v>
      </c>
      <c r="AA46" s="244"/>
      <c r="AB46" s="240" t="s">
        <v>52</v>
      </c>
    </row>
    <row r="47" spans="1:29" s="35" customFormat="1">
      <c r="A47" s="915" t="s">
        <v>62</v>
      </c>
      <c r="B47" s="910">
        <v>2120</v>
      </c>
      <c r="C47" s="910">
        <v>112</v>
      </c>
      <c r="D47" s="919" t="s">
        <v>528</v>
      </c>
      <c r="E47" s="916">
        <f>E50+E51+E52+E53</f>
        <v>1440930.93</v>
      </c>
      <c r="F47" s="520"/>
      <c r="G47" s="520"/>
      <c r="H47" s="520"/>
      <c r="I47" s="520"/>
      <c r="J47" s="520"/>
      <c r="K47" s="520"/>
      <c r="L47" s="520"/>
      <c r="M47" s="520"/>
      <c r="N47" s="520"/>
      <c r="O47" s="520"/>
      <c r="P47" s="520"/>
      <c r="Q47" s="520"/>
      <c r="R47" s="520"/>
      <c r="S47" s="520"/>
      <c r="T47" s="911">
        <f t="shared" ref="T47:X47" si="2">SUM(T50:T53)</f>
        <v>1020510</v>
      </c>
      <c r="U47" s="920">
        <f t="shared" si="2"/>
        <v>2147794.96</v>
      </c>
      <c r="V47" s="920">
        <f t="shared" si="2"/>
        <v>1200650.48</v>
      </c>
      <c r="W47" s="920">
        <f t="shared" si="2"/>
        <v>1129828.02</v>
      </c>
      <c r="X47" s="911">
        <f t="shared" si="2"/>
        <v>1100000</v>
      </c>
      <c r="Y47" s="911">
        <f>SUM(Y50:Y53)</f>
        <v>1148378</v>
      </c>
      <c r="Z47" s="911">
        <f t="shared" ref="Z47:AA47" si="3">SUM(Z50:Z53)</f>
        <v>1062272.75</v>
      </c>
      <c r="AA47" s="911">
        <f t="shared" si="3"/>
        <v>7200</v>
      </c>
      <c r="AB47" s="914" t="s">
        <v>52</v>
      </c>
    </row>
    <row r="48" spans="1:29" s="35" customFormat="1">
      <c r="A48" s="915"/>
      <c r="B48" s="910"/>
      <c r="C48" s="910"/>
      <c r="D48" s="919"/>
      <c r="E48" s="917"/>
      <c r="F48" s="520"/>
      <c r="G48" s="520"/>
      <c r="H48" s="520"/>
      <c r="I48" s="520"/>
      <c r="J48" s="520"/>
      <c r="K48" s="520"/>
      <c r="L48" s="520"/>
      <c r="M48" s="520"/>
      <c r="N48" s="520"/>
      <c r="O48" s="520"/>
      <c r="P48" s="520"/>
      <c r="Q48" s="520"/>
      <c r="R48" s="520"/>
      <c r="S48" s="520"/>
      <c r="T48" s="911"/>
      <c r="U48" s="920"/>
      <c r="V48" s="920"/>
      <c r="W48" s="920"/>
      <c r="X48" s="911"/>
      <c r="Y48" s="911"/>
      <c r="Z48" s="911"/>
      <c r="AA48" s="911"/>
      <c r="AB48" s="914"/>
    </row>
    <row r="49" spans="1:35" s="150" customFormat="1" hidden="1">
      <c r="A49" s="235" t="s">
        <v>31</v>
      </c>
      <c r="B49" s="236" t="s">
        <v>26</v>
      </c>
      <c r="C49" s="236" t="s">
        <v>26</v>
      </c>
      <c r="D49" s="236" t="s">
        <v>26</v>
      </c>
      <c r="E49" s="243" t="s">
        <v>26</v>
      </c>
      <c r="F49" s="553"/>
      <c r="G49" s="553"/>
      <c r="H49" s="553"/>
      <c r="I49" s="553"/>
      <c r="J49" s="553"/>
      <c r="K49" s="553"/>
      <c r="L49" s="553"/>
      <c r="M49" s="553"/>
      <c r="N49" s="553"/>
      <c r="O49" s="553"/>
      <c r="P49" s="553"/>
      <c r="Q49" s="553"/>
      <c r="R49" s="553"/>
      <c r="S49" s="553"/>
      <c r="T49" s="243" t="s">
        <v>26</v>
      </c>
      <c r="U49" s="244"/>
      <c r="V49" s="244"/>
      <c r="W49" s="244"/>
      <c r="X49" s="243" t="s">
        <v>26</v>
      </c>
      <c r="Y49" s="244"/>
      <c r="Z49" s="244"/>
      <c r="AA49" s="244"/>
      <c r="AB49" s="240" t="s">
        <v>26</v>
      </c>
    </row>
    <row r="50" spans="1:35" s="150" customFormat="1" ht="30" hidden="1">
      <c r="A50" s="235" t="s">
        <v>63</v>
      </c>
      <c r="B50" s="228">
        <v>2121</v>
      </c>
      <c r="C50" s="236">
        <v>112</v>
      </c>
      <c r="D50" s="236">
        <v>212</v>
      </c>
      <c r="E50" s="243">
        <f>12600+40000+42000</f>
        <v>94600</v>
      </c>
      <c r="F50" s="553"/>
      <c r="G50" s="553"/>
      <c r="H50" s="553"/>
      <c r="I50" s="553">
        <f>J50+K50</f>
        <v>0</v>
      </c>
      <c r="J50" s="553"/>
      <c r="K50" s="553"/>
      <c r="L50" s="553"/>
      <c r="M50" s="553"/>
      <c r="N50" s="553"/>
      <c r="O50" s="553"/>
      <c r="P50" s="553"/>
      <c r="Q50" s="553"/>
      <c r="R50" s="553"/>
      <c r="S50" s="553"/>
      <c r="T50" s="243">
        <v>0</v>
      </c>
      <c r="U50" s="244">
        <v>243000</v>
      </c>
      <c r="V50" s="244">
        <v>0</v>
      </c>
      <c r="W50" s="244">
        <v>0</v>
      </c>
      <c r="X50" s="243">
        <v>0</v>
      </c>
      <c r="Y50" s="244">
        <v>243000</v>
      </c>
      <c r="Z50" s="244">
        <v>0</v>
      </c>
      <c r="AA50" s="244">
        <v>0</v>
      </c>
      <c r="AB50" s="240" t="s">
        <v>52</v>
      </c>
    </row>
    <row r="51" spans="1:35" s="150" customFormat="1" ht="30" hidden="1">
      <c r="A51" s="235" t="s">
        <v>64</v>
      </c>
      <c r="B51" s="228">
        <v>2122</v>
      </c>
      <c r="C51" s="236">
        <v>112</v>
      </c>
      <c r="D51" s="236">
        <v>214</v>
      </c>
      <c r="E51" s="243">
        <f>1100000+216000-317779.37-31000-75000-36972</f>
        <v>855248.63</v>
      </c>
      <c r="F51" s="553"/>
      <c r="G51" s="553"/>
      <c r="H51" s="553"/>
      <c r="I51" s="553"/>
      <c r="J51" s="553"/>
      <c r="K51" s="553"/>
      <c r="L51" s="553"/>
      <c r="M51" s="553"/>
      <c r="N51" s="553"/>
      <c r="O51" s="553"/>
      <c r="P51" s="553"/>
      <c r="Q51" s="553"/>
      <c r="R51" s="553"/>
      <c r="S51" s="553"/>
      <c r="T51" s="243">
        <v>1020000</v>
      </c>
      <c r="U51" s="244">
        <v>1040000</v>
      </c>
      <c r="V51" s="244">
        <v>1040000</v>
      </c>
      <c r="W51" s="244">
        <v>1000000</v>
      </c>
      <c r="X51" s="243">
        <v>1100000</v>
      </c>
      <c r="Y51" s="244">
        <v>140000</v>
      </c>
      <c r="Z51" s="244">
        <v>960000</v>
      </c>
      <c r="AA51" s="244">
        <v>0</v>
      </c>
      <c r="AB51" s="240" t="s">
        <v>52</v>
      </c>
    </row>
    <row r="52" spans="1:35" s="150" customFormat="1" ht="60" hidden="1">
      <c r="A52" s="235" t="s">
        <v>65</v>
      </c>
      <c r="B52" s="228">
        <v>2123</v>
      </c>
      <c r="C52" s="236">
        <v>112</v>
      </c>
      <c r="D52" s="236">
        <v>226</v>
      </c>
      <c r="E52" s="243">
        <f>32657.3+300000+158000</f>
        <v>490657.3</v>
      </c>
      <c r="F52" s="553"/>
      <c r="G52" s="553"/>
      <c r="H52" s="553"/>
      <c r="I52" s="553"/>
      <c r="J52" s="553"/>
      <c r="K52" s="553"/>
      <c r="L52" s="553"/>
      <c r="M52" s="553"/>
      <c r="N52" s="553"/>
      <c r="O52" s="553"/>
      <c r="P52" s="553"/>
      <c r="Q52" s="553"/>
      <c r="R52" s="553"/>
      <c r="S52" s="553"/>
      <c r="T52" s="243">
        <v>0</v>
      </c>
      <c r="U52" s="244">
        <v>764478</v>
      </c>
      <c r="V52" s="244">
        <v>0</v>
      </c>
      <c r="W52" s="244">
        <v>0</v>
      </c>
      <c r="X52" s="243">
        <v>0</v>
      </c>
      <c r="Y52" s="244">
        <v>764478</v>
      </c>
      <c r="Z52" s="244">
        <v>0</v>
      </c>
      <c r="AA52" s="244">
        <v>0</v>
      </c>
      <c r="AB52" s="240" t="s">
        <v>52</v>
      </c>
    </row>
    <row r="53" spans="1:35" s="150" customFormat="1" ht="30" hidden="1">
      <c r="A53" s="235" t="s">
        <v>61</v>
      </c>
      <c r="B53" s="228">
        <v>2124</v>
      </c>
      <c r="C53" s="236">
        <v>112</v>
      </c>
      <c r="D53" s="236">
        <v>266</v>
      </c>
      <c r="E53" s="243">
        <f>2040-1615</f>
        <v>425</v>
      </c>
      <c r="F53" s="553"/>
      <c r="G53" s="553"/>
      <c r="H53" s="553"/>
      <c r="I53" s="553"/>
      <c r="J53" s="553"/>
      <c r="K53" s="553"/>
      <c r="L53" s="553"/>
      <c r="M53" s="553"/>
      <c r="N53" s="553"/>
      <c r="O53" s="553"/>
      <c r="P53" s="553"/>
      <c r="Q53" s="553"/>
      <c r="R53" s="553"/>
      <c r="S53" s="553"/>
      <c r="T53" s="243">
        <v>510</v>
      </c>
      <c r="U53" s="244">
        <v>100316.96</v>
      </c>
      <c r="V53" s="244">
        <v>160650.48000000001</v>
      </c>
      <c r="W53" s="244">
        <v>129828.02</v>
      </c>
      <c r="X53" s="243">
        <v>0</v>
      </c>
      <c r="Y53" s="244">
        <v>900</v>
      </c>
      <c r="Z53" s="244">
        <v>102272.75</v>
      </c>
      <c r="AA53" s="244">
        <v>7200</v>
      </c>
      <c r="AB53" s="240" t="s">
        <v>52</v>
      </c>
    </row>
    <row r="54" spans="1:35">
      <c r="A54" s="886" t="s">
        <v>66</v>
      </c>
      <c r="B54" s="883">
        <v>2130</v>
      </c>
      <c r="C54" s="883">
        <v>113</v>
      </c>
      <c r="D54" s="883" t="s">
        <v>26</v>
      </c>
      <c r="E54" s="901" t="s">
        <v>52</v>
      </c>
      <c r="F54" s="553"/>
      <c r="G54" s="553"/>
      <c r="H54" s="553"/>
      <c r="I54" s="553"/>
      <c r="J54" s="553"/>
      <c r="K54" s="553"/>
      <c r="L54" s="553"/>
      <c r="M54" s="553"/>
      <c r="N54" s="553"/>
      <c r="O54" s="553"/>
      <c r="P54" s="553"/>
      <c r="Q54" s="553"/>
      <c r="R54" s="553"/>
      <c r="S54" s="553"/>
      <c r="T54" s="903" t="s">
        <v>52</v>
      </c>
      <c r="U54" s="900"/>
      <c r="V54" s="900"/>
      <c r="W54" s="900"/>
      <c r="X54" s="903" t="s">
        <v>52</v>
      </c>
      <c r="Y54" s="900"/>
      <c r="Z54" s="900"/>
      <c r="AA54" s="900"/>
      <c r="AB54" s="884" t="s">
        <v>52</v>
      </c>
    </row>
    <row r="55" spans="1:35" ht="33" customHeight="1">
      <c r="A55" s="886"/>
      <c r="B55" s="883"/>
      <c r="C55" s="883"/>
      <c r="D55" s="883"/>
      <c r="E55" s="902"/>
      <c r="F55" s="553"/>
      <c r="G55" s="553"/>
      <c r="H55" s="553"/>
      <c r="I55" s="553"/>
      <c r="J55" s="553"/>
      <c r="K55" s="553"/>
      <c r="L55" s="553"/>
      <c r="M55" s="553"/>
      <c r="N55" s="553"/>
      <c r="O55" s="553"/>
      <c r="P55" s="553"/>
      <c r="Q55" s="553"/>
      <c r="R55" s="553"/>
      <c r="S55" s="553"/>
      <c r="T55" s="903"/>
      <c r="U55" s="900"/>
      <c r="V55" s="900"/>
      <c r="W55" s="900"/>
      <c r="X55" s="903"/>
      <c r="Y55" s="900"/>
      <c r="Z55" s="900"/>
      <c r="AA55" s="900"/>
      <c r="AB55" s="884"/>
    </row>
    <row r="56" spans="1:35" s="35" customFormat="1" ht="60">
      <c r="A56" s="356" t="s">
        <v>67</v>
      </c>
      <c r="B56" s="357">
        <v>2140</v>
      </c>
      <c r="C56" s="357">
        <v>119</v>
      </c>
      <c r="D56" s="357" t="s">
        <v>26</v>
      </c>
      <c r="E56" s="360">
        <f>E58+E60</f>
        <v>13210218.890000001</v>
      </c>
      <c r="F56" s="520"/>
      <c r="G56" s="520"/>
      <c r="H56" s="520"/>
      <c r="I56" s="520"/>
      <c r="J56" s="520"/>
      <c r="K56" s="520"/>
      <c r="L56" s="520"/>
      <c r="M56" s="520"/>
      <c r="N56" s="520"/>
      <c r="O56" s="520"/>
      <c r="P56" s="520"/>
      <c r="Q56" s="520"/>
      <c r="R56" s="520"/>
      <c r="S56" s="520"/>
      <c r="T56" s="360">
        <f t="shared" ref="T56:X56" si="4">T58+T60</f>
        <v>8894276.5600000005</v>
      </c>
      <c r="U56" s="362">
        <f t="shared" si="4"/>
        <v>1450913.69</v>
      </c>
      <c r="V56" s="362">
        <f t="shared" si="4"/>
        <v>8176092.4400000004</v>
      </c>
      <c r="W56" s="362">
        <f t="shared" si="4"/>
        <v>0</v>
      </c>
      <c r="X56" s="360">
        <f t="shared" si="4"/>
        <v>9543475.6400000006</v>
      </c>
      <c r="Y56" s="360">
        <f>Y58+Y60</f>
        <v>1533302.43</v>
      </c>
      <c r="Z56" s="360">
        <f>Z58+Z60</f>
        <v>8134481.7999999998</v>
      </c>
      <c r="AA56" s="362">
        <f>AA58+AA60</f>
        <v>0</v>
      </c>
      <c r="AB56" s="359" t="s">
        <v>52</v>
      </c>
      <c r="AF56" s="159"/>
      <c r="AG56" s="159"/>
      <c r="AH56" s="159"/>
      <c r="AI56" s="159"/>
    </row>
    <row r="57" spans="1:35" s="196" customFormat="1" hidden="1">
      <c r="A57" s="191" t="s">
        <v>31</v>
      </c>
      <c r="B57" s="192" t="s">
        <v>26</v>
      </c>
      <c r="C57" s="192" t="s">
        <v>26</v>
      </c>
      <c r="D57" s="192" t="s">
        <v>26</v>
      </c>
      <c r="E57" s="193" t="s">
        <v>26</v>
      </c>
      <c r="F57" s="553"/>
      <c r="G57" s="553"/>
      <c r="H57" s="553"/>
      <c r="I57" s="553"/>
      <c r="J57" s="553"/>
      <c r="K57" s="553"/>
      <c r="L57" s="553"/>
      <c r="M57" s="553"/>
      <c r="N57" s="553"/>
      <c r="O57" s="553"/>
      <c r="P57" s="553"/>
      <c r="Q57" s="553"/>
      <c r="R57" s="553"/>
      <c r="S57" s="553"/>
      <c r="T57" s="193" t="s">
        <v>26</v>
      </c>
      <c r="U57" s="194"/>
      <c r="V57" s="194"/>
      <c r="W57" s="194"/>
      <c r="X57" s="193" t="s">
        <v>26</v>
      </c>
      <c r="Y57" s="193"/>
      <c r="Z57" s="193"/>
      <c r="AA57" s="194"/>
      <c r="AB57" s="195" t="s">
        <v>26</v>
      </c>
      <c r="AF57" s="215"/>
      <c r="AG57" s="215"/>
      <c r="AH57" s="215"/>
      <c r="AI57" s="215"/>
    </row>
    <row r="58" spans="1:35" hidden="1">
      <c r="A58" s="934" t="s">
        <v>513</v>
      </c>
      <c r="B58" s="890">
        <v>2141</v>
      </c>
      <c r="C58" s="890">
        <v>119</v>
      </c>
      <c r="D58" s="890">
        <v>213</v>
      </c>
      <c r="E58" s="901">
        <f>11339225.23+F58+I58+10000+1122911.09+22833.85+392054.14+54202.07</f>
        <v>13210218.890000001</v>
      </c>
      <c r="F58" s="925">
        <f>G58+H58</f>
        <v>641873.99</v>
      </c>
      <c r="G58" s="925">
        <v>268992.51</v>
      </c>
      <c r="H58" s="925">
        <v>372881.48</v>
      </c>
      <c r="I58" s="925">
        <f>J58+K58</f>
        <v>-372881.48</v>
      </c>
      <c r="J58" s="925"/>
      <c r="K58" s="925">
        <v>-372881.48</v>
      </c>
      <c r="L58" s="558"/>
      <c r="M58" s="558"/>
      <c r="N58" s="558"/>
      <c r="O58" s="558"/>
      <c r="P58" s="558"/>
      <c r="Q58" s="558"/>
      <c r="R58" s="558"/>
      <c r="S58" s="558"/>
      <c r="T58" s="901">
        <v>8854118.6400000006</v>
      </c>
      <c r="U58" s="921">
        <f>[1]Лист9!F42</f>
        <v>1450913.69</v>
      </c>
      <c r="V58" s="921">
        <f>[1]Лист9!F22</f>
        <v>8142293.2800000003</v>
      </c>
      <c r="W58" s="921">
        <v>0</v>
      </c>
      <c r="X58" s="901">
        <v>9543475.6400000006</v>
      </c>
      <c r="Y58" s="921">
        <f>[1]Лист9!H42</f>
        <v>1533302.43</v>
      </c>
      <c r="Z58" s="921">
        <f>[1]Лист9!H22</f>
        <v>8098921.9800000004</v>
      </c>
      <c r="AA58" s="921">
        <v>0</v>
      </c>
      <c r="AB58" s="923" t="s">
        <v>52</v>
      </c>
      <c r="AF58" s="160"/>
      <c r="AG58" s="160"/>
      <c r="AH58" s="160"/>
      <c r="AI58" s="160"/>
    </row>
    <row r="59" spans="1:35" hidden="1">
      <c r="A59" s="935"/>
      <c r="B59" s="891"/>
      <c r="C59" s="891"/>
      <c r="D59" s="891"/>
      <c r="E59" s="902"/>
      <c r="F59" s="926"/>
      <c r="G59" s="926"/>
      <c r="H59" s="926"/>
      <c r="I59" s="926"/>
      <c r="J59" s="926"/>
      <c r="K59" s="926"/>
      <c r="L59" s="559"/>
      <c r="M59" s="559"/>
      <c r="N59" s="559"/>
      <c r="O59" s="559"/>
      <c r="P59" s="559"/>
      <c r="Q59" s="559"/>
      <c r="R59" s="559"/>
      <c r="S59" s="559"/>
      <c r="T59" s="902"/>
      <c r="U59" s="922"/>
      <c r="V59" s="922"/>
      <c r="W59" s="922"/>
      <c r="X59" s="902"/>
      <c r="Y59" s="922"/>
      <c r="Z59" s="922"/>
      <c r="AA59" s="922"/>
      <c r="AB59" s="924"/>
    </row>
    <row r="60" spans="1:35" hidden="1">
      <c r="A60" s="882" t="s">
        <v>68</v>
      </c>
      <c r="B60" s="883">
        <v>2142</v>
      </c>
      <c r="C60" s="883">
        <v>119</v>
      </c>
      <c r="D60" s="883">
        <v>266</v>
      </c>
      <c r="E60" s="901">
        <f>94928.69-94928.69</f>
        <v>0</v>
      </c>
      <c r="F60" s="553"/>
      <c r="G60" s="553"/>
      <c r="H60" s="553"/>
      <c r="I60" s="553"/>
      <c r="J60" s="553"/>
      <c r="K60" s="553"/>
      <c r="L60" s="553"/>
      <c r="M60" s="553"/>
      <c r="N60" s="553"/>
      <c r="O60" s="553"/>
      <c r="P60" s="553"/>
      <c r="Q60" s="553"/>
      <c r="R60" s="553"/>
      <c r="S60" s="553"/>
      <c r="T60" s="903">
        <v>40157.919999999998</v>
      </c>
      <c r="U60" s="900">
        <v>0</v>
      </c>
      <c r="V60" s="900">
        <f>[1]Лист10!J12</f>
        <v>33799.160000000003</v>
      </c>
      <c r="W60" s="900">
        <v>0</v>
      </c>
      <c r="X60" s="903">
        <v>0</v>
      </c>
      <c r="Y60" s="900">
        <v>0</v>
      </c>
      <c r="Z60" s="900">
        <f>[1]Лист10!N12</f>
        <v>35559.82</v>
      </c>
      <c r="AA60" s="900">
        <v>0</v>
      </c>
      <c r="AB60" s="884" t="s">
        <v>52</v>
      </c>
    </row>
    <row r="61" spans="1:35" hidden="1">
      <c r="A61" s="882"/>
      <c r="B61" s="883"/>
      <c r="C61" s="883"/>
      <c r="D61" s="883"/>
      <c r="E61" s="902"/>
      <c r="F61" s="553"/>
      <c r="G61" s="553"/>
      <c r="H61" s="553"/>
      <c r="I61" s="553"/>
      <c r="J61" s="553"/>
      <c r="K61" s="553"/>
      <c r="L61" s="553"/>
      <c r="M61" s="553"/>
      <c r="N61" s="553"/>
      <c r="O61" s="553"/>
      <c r="P61" s="553"/>
      <c r="Q61" s="553"/>
      <c r="R61" s="553"/>
      <c r="S61" s="553"/>
      <c r="T61" s="903"/>
      <c r="U61" s="900"/>
      <c r="V61" s="900"/>
      <c r="W61" s="900"/>
      <c r="X61" s="903"/>
      <c r="Y61" s="900"/>
      <c r="Z61" s="900"/>
      <c r="AA61" s="900"/>
      <c r="AB61" s="884"/>
    </row>
    <row r="62" spans="1:35">
      <c r="A62" s="882" t="s">
        <v>69</v>
      </c>
      <c r="B62" s="883">
        <v>2200</v>
      </c>
      <c r="C62" s="883">
        <v>300</v>
      </c>
      <c r="D62" s="883" t="s">
        <v>26</v>
      </c>
      <c r="E62" s="901" t="s">
        <v>52</v>
      </c>
      <c r="F62" s="553"/>
      <c r="G62" s="553"/>
      <c r="H62" s="553"/>
      <c r="I62" s="553"/>
      <c r="J62" s="553"/>
      <c r="K62" s="553"/>
      <c r="L62" s="553"/>
      <c r="M62" s="553"/>
      <c r="N62" s="553"/>
      <c r="O62" s="553"/>
      <c r="P62" s="553"/>
      <c r="Q62" s="553"/>
      <c r="R62" s="553"/>
      <c r="S62" s="553"/>
      <c r="T62" s="903" t="str">
        <f>T64</f>
        <v>-</v>
      </c>
      <c r="U62" s="900">
        <f>U64</f>
        <v>0</v>
      </c>
      <c r="V62" s="900">
        <f t="shared" ref="V62:W62" si="5">V64</f>
        <v>0</v>
      </c>
      <c r="W62" s="900">
        <f t="shared" si="5"/>
        <v>0</v>
      </c>
      <c r="X62" s="903" t="s">
        <v>52</v>
      </c>
      <c r="Y62" s="900">
        <f>Y64</f>
        <v>0</v>
      </c>
      <c r="Z62" s="900">
        <f t="shared" ref="Z62:AA62" si="6">Z64</f>
        <v>0</v>
      </c>
      <c r="AA62" s="900">
        <f t="shared" si="6"/>
        <v>0</v>
      </c>
      <c r="AB62" s="884" t="s">
        <v>52</v>
      </c>
    </row>
    <row r="63" spans="1:35">
      <c r="A63" s="882"/>
      <c r="B63" s="883"/>
      <c r="C63" s="883"/>
      <c r="D63" s="883"/>
      <c r="E63" s="902"/>
      <c r="F63" s="553"/>
      <c r="G63" s="553"/>
      <c r="H63" s="553"/>
      <c r="I63" s="553"/>
      <c r="J63" s="553"/>
      <c r="K63" s="553"/>
      <c r="L63" s="553"/>
      <c r="M63" s="553"/>
      <c r="N63" s="553"/>
      <c r="O63" s="553"/>
      <c r="P63" s="553"/>
      <c r="Q63" s="553"/>
      <c r="R63" s="553"/>
      <c r="S63" s="553"/>
      <c r="T63" s="903"/>
      <c r="U63" s="900"/>
      <c r="V63" s="900"/>
      <c r="W63" s="900"/>
      <c r="X63" s="903"/>
      <c r="Y63" s="900"/>
      <c r="Z63" s="900"/>
      <c r="AA63" s="900"/>
      <c r="AB63" s="884"/>
    </row>
    <row r="64" spans="1:35" ht="26.25" customHeight="1">
      <c r="A64" s="882" t="s">
        <v>506</v>
      </c>
      <c r="B64" s="883">
        <v>2210</v>
      </c>
      <c r="C64" s="883">
        <v>320</v>
      </c>
      <c r="D64" s="883" t="s">
        <v>26</v>
      </c>
      <c r="E64" s="901" t="s">
        <v>52</v>
      </c>
      <c r="F64" s="553"/>
      <c r="G64" s="553"/>
      <c r="H64" s="553"/>
      <c r="I64" s="553"/>
      <c r="J64" s="553"/>
      <c r="K64" s="553"/>
      <c r="L64" s="553"/>
      <c r="M64" s="553"/>
      <c r="N64" s="553"/>
      <c r="O64" s="553"/>
      <c r="P64" s="553"/>
      <c r="Q64" s="553"/>
      <c r="R64" s="553"/>
      <c r="S64" s="553"/>
      <c r="T64" s="903" t="s">
        <v>52</v>
      </c>
      <c r="U64" s="900">
        <v>0</v>
      </c>
      <c r="V64" s="900">
        <v>0</v>
      </c>
      <c r="W64" s="900">
        <v>0</v>
      </c>
      <c r="X64" s="903" t="s">
        <v>52</v>
      </c>
      <c r="Y64" s="900">
        <v>0</v>
      </c>
      <c r="Z64" s="900">
        <v>0</v>
      </c>
      <c r="AA64" s="900">
        <v>0</v>
      </c>
      <c r="AB64" s="884" t="s">
        <v>52</v>
      </c>
    </row>
    <row r="65" spans="1:28" ht="34.5" customHeight="1">
      <c r="A65" s="882"/>
      <c r="B65" s="883"/>
      <c r="C65" s="883"/>
      <c r="D65" s="883"/>
      <c r="E65" s="902"/>
      <c r="F65" s="553"/>
      <c r="G65" s="553"/>
      <c r="H65" s="553"/>
      <c r="I65" s="553"/>
      <c r="J65" s="553"/>
      <c r="K65" s="553"/>
      <c r="L65" s="553"/>
      <c r="M65" s="553"/>
      <c r="N65" s="553"/>
      <c r="O65" s="553"/>
      <c r="P65" s="553"/>
      <c r="Q65" s="553"/>
      <c r="R65" s="553"/>
      <c r="S65" s="553"/>
      <c r="T65" s="903"/>
      <c r="U65" s="900"/>
      <c r="V65" s="900"/>
      <c r="W65" s="900"/>
      <c r="X65" s="903"/>
      <c r="Y65" s="900"/>
      <c r="Z65" s="900"/>
      <c r="AA65" s="900"/>
      <c r="AB65" s="884"/>
    </row>
    <row r="66" spans="1:28" ht="26.25" customHeight="1">
      <c r="A66" s="882" t="s">
        <v>507</v>
      </c>
      <c r="B66" s="883">
        <v>2211</v>
      </c>
      <c r="C66" s="883">
        <v>321</v>
      </c>
      <c r="D66" s="883" t="s">
        <v>26</v>
      </c>
      <c r="E66" s="901" t="s">
        <v>52</v>
      </c>
      <c r="F66" s="553"/>
      <c r="G66" s="553"/>
      <c r="H66" s="553"/>
      <c r="I66" s="553"/>
      <c r="J66" s="553"/>
      <c r="K66" s="553"/>
      <c r="L66" s="553"/>
      <c r="M66" s="553"/>
      <c r="N66" s="553"/>
      <c r="O66" s="553"/>
      <c r="P66" s="553"/>
      <c r="Q66" s="553"/>
      <c r="R66" s="553"/>
      <c r="S66" s="553"/>
      <c r="T66" s="903" t="s">
        <v>52</v>
      </c>
      <c r="U66" s="900">
        <v>0</v>
      </c>
      <c r="V66" s="900">
        <v>0</v>
      </c>
      <c r="W66" s="900">
        <v>0</v>
      </c>
      <c r="X66" s="903" t="s">
        <v>52</v>
      </c>
      <c r="Y66" s="900">
        <v>0</v>
      </c>
      <c r="Z66" s="900">
        <v>0</v>
      </c>
      <c r="AA66" s="900">
        <v>0</v>
      </c>
      <c r="AB66" s="884" t="s">
        <v>52</v>
      </c>
    </row>
    <row r="67" spans="1:28" ht="30" customHeight="1">
      <c r="A67" s="882"/>
      <c r="B67" s="883"/>
      <c r="C67" s="883"/>
      <c r="D67" s="883"/>
      <c r="E67" s="902"/>
      <c r="F67" s="553"/>
      <c r="G67" s="553"/>
      <c r="H67" s="553"/>
      <c r="I67" s="553"/>
      <c r="J67" s="553"/>
      <c r="K67" s="553"/>
      <c r="L67" s="553"/>
      <c r="M67" s="553"/>
      <c r="N67" s="553"/>
      <c r="O67" s="553"/>
      <c r="P67" s="553"/>
      <c r="Q67" s="553"/>
      <c r="R67" s="553"/>
      <c r="S67" s="553"/>
      <c r="T67" s="903"/>
      <c r="U67" s="900"/>
      <c r="V67" s="900"/>
      <c r="W67" s="900"/>
      <c r="X67" s="903"/>
      <c r="Y67" s="900"/>
      <c r="Z67" s="900"/>
      <c r="AA67" s="900"/>
      <c r="AB67" s="884"/>
    </row>
    <row r="68" spans="1:28" ht="60">
      <c r="A68" s="348" t="s">
        <v>70</v>
      </c>
      <c r="B68" s="349">
        <v>2220</v>
      </c>
      <c r="C68" s="349">
        <v>340</v>
      </c>
      <c r="D68" s="349" t="s">
        <v>26</v>
      </c>
      <c r="E68" s="355" t="s">
        <v>52</v>
      </c>
      <c r="F68" s="553"/>
      <c r="G68" s="553"/>
      <c r="H68" s="553"/>
      <c r="I68" s="553"/>
      <c r="J68" s="553"/>
      <c r="K68" s="553"/>
      <c r="L68" s="553"/>
      <c r="M68" s="553"/>
      <c r="N68" s="553"/>
      <c r="O68" s="553"/>
      <c r="P68" s="553"/>
      <c r="Q68" s="553"/>
      <c r="R68" s="553"/>
      <c r="S68" s="553"/>
      <c r="T68" s="355" t="s">
        <v>52</v>
      </c>
      <c r="U68" s="354"/>
      <c r="V68" s="354"/>
      <c r="W68" s="354"/>
      <c r="X68" s="355" t="s">
        <v>52</v>
      </c>
      <c r="Y68" s="354"/>
      <c r="Z68" s="354"/>
      <c r="AA68" s="354"/>
      <c r="AB68" s="350" t="s">
        <v>52</v>
      </c>
    </row>
    <row r="69" spans="1:28" ht="90">
      <c r="A69" s="348" t="s">
        <v>71</v>
      </c>
      <c r="B69" s="349">
        <v>2230</v>
      </c>
      <c r="C69" s="349">
        <v>350</v>
      </c>
      <c r="D69" s="349" t="s">
        <v>26</v>
      </c>
      <c r="E69" s="355" t="s">
        <v>52</v>
      </c>
      <c r="F69" s="553"/>
      <c r="G69" s="553"/>
      <c r="H69" s="553"/>
      <c r="I69" s="553"/>
      <c r="J69" s="553"/>
      <c r="K69" s="553"/>
      <c r="L69" s="553"/>
      <c r="M69" s="553"/>
      <c r="N69" s="553"/>
      <c r="O69" s="553"/>
      <c r="P69" s="553"/>
      <c r="Q69" s="553"/>
      <c r="R69" s="553"/>
      <c r="S69" s="553"/>
      <c r="T69" s="355" t="s">
        <v>52</v>
      </c>
      <c r="U69" s="354"/>
      <c r="V69" s="354"/>
      <c r="W69" s="354"/>
      <c r="X69" s="355" t="s">
        <v>52</v>
      </c>
      <c r="Y69" s="354"/>
      <c r="Z69" s="354"/>
      <c r="AA69" s="354"/>
      <c r="AB69" s="350" t="s">
        <v>52</v>
      </c>
    </row>
    <row r="70" spans="1:28">
      <c r="A70" s="348" t="s">
        <v>72</v>
      </c>
      <c r="B70" s="349">
        <v>2240</v>
      </c>
      <c r="C70" s="349">
        <v>360</v>
      </c>
      <c r="D70" s="349" t="s">
        <v>26</v>
      </c>
      <c r="E70" s="355" t="s">
        <v>52</v>
      </c>
      <c r="F70" s="553"/>
      <c r="G70" s="553"/>
      <c r="H70" s="553"/>
      <c r="I70" s="553"/>
      <c r="J70" s="553"/>
      <c r="K70" s="553"/>
      <c r="L70" s="553"/>
      <c r="M70" s="553"/>
      <c r="N70" s="553"/>
      <c r="O70" s="553"/>
      <c r="P70" s="553"/>
      <c r="Q70" s="553"/>
      <c r="R70" s="553"/>
      <c r="S70" s="553"/>
      <c r="T70" s="355" t="s">
        <v>52</v>
      </c>
      <c r="U70" s="354"/>
      <c r="V70" s="354"/>
      <c r="W70" s="354"/>
      <c r="X70" s="355" t="s">
        <v>52</v>
      </c>
      <c r="Y70" s="354"/>
      <c r="Z70" s="354"/>
      <c r="AA70" s="354"/>
      <c r="AB70" s="350" t="s">
        <v>52</v>
      </c>
    </row>
    <row r="71" spans="1:28" s="35" customFormat="1" ht="30">
      <c r="A71" s="356" t="s">
        <v>73</v>
      </c>
      <c r="B71" s="357">
        <v>2300</v>
      </c>
      <c r="C71" s="357">
        <v>850</v>
      </c>
      <c r="D71" s="357" t="s">
        <v>26</v>
      </c>
      <c r="E71" s="360">
        <f>E73+E76+E77</f>
        <v>651861.15</v>
      </c>
      <c r="F71" s="520"/>
      <c r="G71" s="520"/>
      <c r="H71" s="520"/>
      <c r="I71" s="520"/>
      <c r="J71" s="520"/>
      <c r="K71" s="520"/>
      <c r="L71" s="520"/>
      <c r="M71" s="520"/>
      <c r="N71" s="520"/>
      <c r="O71" s="520"/>
      <c r="P71" s="520"/>
      <c r="Q71" s="520"/>
      <c r="R71" s="520"/>
      <c r="S71" s="520"/>
      <c r="T71" s="360">
        <f t="shared" ref="T71:X71" si="7">T73+T76+T77</f>
        <v>43633.54</v>
      </c>
      <c r="U71" s="362">
        <f t="shared" si="7"/>
        <v>27269.56</v>
      </c>
      <c r="V71" s="362">
        <f t="shared" si="7"/>
        <v>4216753.62</v>
      </c>
      <c r="W71" s="362">
        <f t="shared" si="7"/>
        <v>19701</v>
      </c>
      <c r="X71" s="360">
        <f t="shared" si="7"/>
        <v>47143.18</v>
      </c>
      <c r="Y71" s="360">
        <f>Y73+Y77</f>
        <v>0</v>
      </c>
      <c r="Z71" s="360">
        <f>Z73+Z77</f>
        <v>1994933.25</v>
      </c>
      <c r="AA71" s="360">
        <f>AA73+AA77</f>
        <v>0</v>
      </c>
      <c r="AB71" s="359" t="s">
        <v>52</v>
      </c>
    </row>
    <row r="72" spans="1:28" s="196" customFormat="1" hidden="1">
      <c r="A72" s="191" t="s">
        <v>59</v>
      </c>
      <c r="B72" s="192" t="s">
        <v>26</v>
      </c>
      <c r="C72" s="192" t="s">
        <v>26</v>
      </c>
      <c r="D72" s="192" t="s">
        <v>26</v>
      </c>
      <c r="E72" s="193" t="s">
        <v>26</v>
      </c>
      <c r="F72" s="520"/>
      <c r="G72" s="520"/>
      <c r="H72" s="520"/>
      <c r="I72" s="520"/>
      <c r="J72" s="520"/>
      <c r="K72" s="520"/>
      <c r="L72" s="520"/>
      <c r="M72" s="520"/>
      <c r="N72" s="520"/>
      <c r="O72" s="520"/>
      <c r="P72" s="520"/>
      <c r="Q72" s="520"/>
      <c r="R72" s="520"/>
      <c r="S72" s="520"/>
      <c r="T72" s="193" t="s">
        <v>26</v>
      </c>
      <c r="U72" s="194"/>
      <c r="V72" s="194"/>
      <c r="W72" s="194"/>
      <c r="X72" s="193" t="s">
        <v>26</v>
      </c>
      <c r="Y72" s="194"/>
      <c r="Z72" s="194"/>
      <c r="AA72" s="194"/>
      <c r="AB72" s="195" t="s">
        <v>26</v>
      </c>
    </row>
    <row r="73" spans="1:28" ht="32.25" customHeight="1">
      <c r="A73" s="882" t="s">
        <v>512</v>
      </c>
      <c r="B73" s="927">
        <v>2310</v>
      </c>
      <c r="C73" s="883">
        <v>851</v>
      </c>
      <c r="D73" s="883">
        <v>291</v>
      </c>
      <c r="E73" s="901">
        <v>0</v>
      </c>
      <c r="F73" s="520"/>
      <c r="G73" s="520"/>
      <c r="H73" s="520"/>
      <c r="I73" s="520"/>
      <c r="J73" s="520"/>
      <c r="K73" s="520"/>
      <c r="L73" s="520"/>
      <c r="M73" s="520"/>
      <c r="N73" s="520"/>
      <c r="O73" s="520"/>
      <c r="P73" s="520"/>
      <c r="Q73" s="520"/>
      <c r="R73" s="520"/>
      <c r="S73" s="520"/>
      <c r="T73" s="903">
        <v>0</v>
      </c>
      <c r="U73" s="900">
        <f>[1]Лист10!I38+[1]Лист10!I39</f>
        <v>0</v>
      </c>
      <c r="V73" s="900">
        <f>[1]Лист10!J38+[1]Лист10!J39</f>
        <v>2031292</v>
      </c>
      <c r="W73" s="900">
        <v>0</v>
      </c>
      <c r="X73" s="903">
        <v>0</v>
      </c>
      <c r="Y73" s="900">
        <v>0</v>
      </c>
      <c r="Z73" s="900">
        <f>[1]Лист10!N38+[1]Лист10!N39</f>
        <v>1975232.25</v>
      </c>
      <c r="AA73" s="900">
        <v>0</v>
      </c>
      <c r="AB73" s="884" t="s">
        <v>52</v>
      </c>
    </row>
    <row r="74" spans="1:28" ht="15" customHeight="1">
      <c r="A74" s="882"/>
      <c r="B74" s="927"/>
      <c r="C74" s="883"/>
      <c r="D74" s="883"/>
      <c r="E74" s="906"/>
      <c r="F74" s="520"/>
      <c r="G74" s="520"/>
      <c r="H74" s="520"/>
      <c r="I74" s="520"/>
      <c r="J74" s="520"/>
      <c r="K74" s="520"/>
      <c r="L74" s="520"/>
      <c r="M74" s="520"/>
      <c r="N74" s="520"/>
      <c r="O74" s="520"/>
      <c r="P74" s="520"/>
      <c r="Q74" s="520"/>
      <c r="R74" s="520"/>
      <c r="S74" s="520"/>
      <c r="T74" s="903"/>
      <c r="U74" s="900"/>
      <c r="V74" s="900"/>
      <c r="W74" s="900"/>
      <c r="X74" s="903"/>
      <c r="Y74" s="900"/>
      <c r="Z74" s="900"/>
      <c r="AA74" s="900"/>
      <c r="AB74" s="884"/>
    </row>
    <row r="75" spans="1:28" s="196" customFormat="1" ht="15" hidden="1" customHeight="1">
      <c r="A75" s="191"/>
      <c r="B75" s="927"/>
      <c r="C75" s="883"/>
      <c r="D75" s="883"/>
      <c r="E75" s="902"/>
      <c r="F75" s="520"/>
      <c r="G75" s="520"/>
      <c r="H75" s="520"/>
      <c r="I75" s="520"/>
      <c r="J75" s="520"/>
      <c r="K75" s="520"/>
      <c r="L75" s="520"/>
      <c r="M75" s="520"/>
      <c r="N75" s="520"/>
      <c r="O75" s="520"/>
      <c r="P75" s="520"/>
      <c r="Q75" s="520"/>
      <c r="R75" s="520"/>
      <c r="S75" s="520"/>
      <c r="T75" s="903"/>
      <c r="U75" s="900"/>
      <c r="V75" s="900"/>
      <c r="W75" s="900"/>
      <c r="X75" s="903"/>
      <c r="Y75" s="900"/>
      <c r="Z75" s="900"/>
      <c r="AA75" s="900"/>
      <c r="AB75" s="884"/>
    </row>
    <row r="76" spans="1:28" ht="79.5" customHeight="1">
      <c r="A76" s="348" t="s">
        <v>74</v>
      </c>
      <c r="B76" s="364">
        <v>2320</v>
      </c>
      <c r="C76" s="349">
        <v>852</v>
      </c>
      <c r="D76" s="349">
        <v>291</v>
      </c>
      <c r="E76" s="355">
        <f>0+F76+I76</f>
        <v>800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52</v>
      </c>
    </row>
    <row r="77" spans="1:28" s="35" customFormat="1">
      <c r="A77" s="928" t="s">
        <v>75</v>
      </c>
      <c r="B77" s="918">
        <v>2330</v>
      </c>
      <c r="C77" s="910">
        <v>853</v>
      </c>
      <c r="D77" s="919" t="s">
        <v>863</v>
      </c>
      <c r="E77" s="916">
        <f>SUM(E79:E81)</f>
        <v>651061.15</v>
      </c>
      <c r="F77" s="520"/>
      <c r="G77" s="520"/>
      <c r="H77" s="520"/>
      <c r="I77" s="520"/>
      <c r="J77" s="520"/>
      <c r="K77" s="520"/>
      <c r="L77" s="520"/>
      <c r="M77" s="520"/>
      <c r="N77" s="520"/>
      <c r="O77" s="520"/>
      <c r="P77" s="520"/>
      <c r="Q77" s="520"/>
      <c r="R77" s="520"/>
      <c r="S77" s="520"/>
      <c r="T77" s="911">
        <f t="shared" ref="T77:X77" si="8">SUM(T79:T81)</f>
        <v>43633.54</v>
      </c>
      <c r="U77" s="911">
        <f t="shared" si="8"/>
        <v>27269.56</v>
      </c>
      <c r="V77" s="911">
        <f t="shared" si="8"/>
        <v>2185461.62</v>
      </c>
      <c r="W77" s="911">
        <f t="shared" si="8"/>
        <v>19701</v>
      </c>
      <c r="X77" s="911">
        <f t="shared" si="8"/>
        <v>47143.18</v>
      </c>
      <c r="Y77" s="920">
        <v>0</v>
      </c>
      <c r="Z77" s="920">
        <v>19701</v>
      </c>
      <c r="AA77" s="920">
        <v>0</v>
      </c>
      <c r="AB77" s="911" t="s">
        <v>52</v>
      </c>
    </row>
    <row r="78" spans="1:28" s="35" customFormat="1">
      <c r="A78" s="928"/>
      <c r="B78" s="918"/>
      <c r="C78" s="910"/>
      <c r="D78" s="919"/>
      <c r="E78" s="917"/>
      <c r="F78" s="520"/>
      <c r="G78" s="520"/>
      <c r="H78" s="520"/>
      <c r="I78" s="520"/>
      <c r="J78" s="520"/>
      <c r="K78" s="520"/>
      <c r="L78" s="520"/>
      <c r="M78" s="520"/>
      <c r="N78" s="520"/>
      <c r="O78" s="520"/>
      <c r="P78" s="520"/>
      <c r="Q78" s="520"/>
      <c r="R78" s="520"/>
      <c r="S78" s="520"/>
      <c r="T78" s="911"/>
      <c r="U78" s="911"/>
      <c r="V78" s="911"/>
      <c r="W78" s="911"/>
      <c r="X78" s="911"/>
      <c r="Y78" s="920"/>
      <c r="Z78" s="920"/>
      <c r="AA78" s="920"/>
      <c r="AB78" s="911"/>
    </row>
    <row r="79" spans="1:28" s="150" customFormat="1" hidden="1">
      <c r="A79" s="242" t="s">
        <v>76</v>
      </c>
      <c r="B79" s="228">
        <v>2330</v>
      </c>
      <c r="C79" s="236">
        <v>853</v>
      </c>
      <c r="D79" s="236">
        <v>241</v>
      </c>
      <c r="E79" s="243">
        <f>588894.12</f>
        <v>588894.12</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52</v>
      </c>
    </row>
    <row r="80" spans="1:28" s="150" customFormat="1" ht="30" hidden="1">
      <c r="A80" s="242" t="s">
        <v>77</v>
      </c>
      <c r="B80" s="228">
        <v>2330</v>
      </c>
      <c r="C80" s="236">
        <v>853</v>
      </c>
      <c r="D80" s="236">
        <v>297</v>
      </c>
      <c r="E80" s="243">
        <f>56526.33+5640.7</f>
        <v>62167.03</v>
      </c>
      <c r="F80" s="553"/>
      <c r="G80" s="553"/>
      <c r="H80" s="553"/>
      <c r="I80" s="553"/>
      <c r="J80" s="553"/>
      <c r="K80" s="553"/>
      <c r="L80" s="553"/>
      <c r="M80" s="553"/>
      <c r="N80" s="553"/>
      <c r="O80" s="553"/>
      <c r="P80" s="553"/>
      <c r="Q80" s="553"/>
      <c r="R80" s="553"/>
      <c r="S80" s="553"/>
      <c r="T80" s="243">
        <v>43633.54</v>
      </c>
      <c r="U80" s="244">
        <f>[1]Лист10!J51</f>
        <v>7568.56</v>
      </c>
      <c r="V80" s="244">
        <f>[1]Лист10!J41</f>
        <v>57383.81</v>
      </c>
      <c r="W80" s="244">
        <v>0</v>
      </c>
      <c r="X80" s="243">
        <v>47143.18</v>
      </c>
      <c r="Y80" s="244">
        <f>[1]Лист10!N51</f>
        <v>7810.55</v>
      </c>
      <c r="Z80" s="244">
        <f>[1]Лист10!N41</f>
        <v>57383.81</v>
      </c>
      <c r="AA80" s="244">
        <v>0</v>
      </c>
      <c r="AB80" s="240" t="s">
        <v>52</v>
      </c>
    </row>
    <row r="81" spans="1:28" s="150" customFormat="1" hidden="1">
      <c r="A81" s="242" t="s">
        <v>486</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52</v>
      </c>
    </row>
    <row r="82" spans="1:28">
      <c r="A82" s="882" t="s">
        <v>78</v>
      </c>
      <c r="B82" s="883">
        <v>2400</v>
      </c>
      <c r="C82" s="883" t="s">
        <v>53</v>
      </c>
      <c r="D82" s="883" t="s">
        <v>26</v>
      </c>
      <c r="E82" s="901" t="s">
        <v>52</v>
      </c>
      <c r="F82" s="553"/>
      <c r="G82" s="553"/>
      <c r="H82" s="553"/>
      <c r="I82" s="553"/>
      <c r="J82" s="553"/>
      <c r="K82" s="553"/>
      <c r="L82" s="553"/>
      <c r="M82" s="553"/>
      <c r="N82" s="553"/>
      <c r="O82" s="553"/>
      <c r="P82" s="553"/>
      <c r="Q82" s="553"/>
      <c r="R82" s="553"/>
      <c r="S82" s="553"/>
      <c r="T82" s="903" t="s">
        <v>52</v>
      </c>
      <c r="U82" s="900"/>
      <c r="V82" s="900"/>
      <c r="W82" s="900"/>
      <c r="X82" s="903" t="s">
        <v>52</v>
      </c>
      <c r="Y82" s="900"/>
      <c r="Z82" s="900"/>
      <c r="AA82" s="900"/>
      <c r="AB82" s="884" t="s">
        <v>52</v>
      </c>
    </row>
    <row r="83" spans="1:28">
      <c r="A83" s="882"/>
      <c r="B83" s="883"/>
      <c r="C83" s="883"/>
      <c r="D83" s="883"/>
      <c r="E83" s="902"/>
      <c r="F83" s="553"/>
      <c r="G83" s="553"/>
      <c r="H83" s="553"/>
      <c r="I83" s="553"/>
      <c r="J83" s="553"/>
      <c r="K83" s="553"/>
      <c r="L83" s="553"/>
      <c r="M83" s="553"/>
      <c r="N83" s="553"/>
      <c r="O83" s="553"/>
      <c r="P83" s="553"/>
      <c r="Q83" s="553"/>
      <c r="R83" s="553"/>
      <c r="S83" s="553"/>
      <c r="T83" s="903"/>
      <c r="U83" s="900"/>
      <c r="V83" s="900"/>
      <c r="W83" s="900"/>
      <c r="X83" s="903"/>
      <c r="Y83" s="900"/>
      <c r="Z83" s="900"/>
      <c r="AA83" s="900"/>
      <c r="AB83" s="884"/>
    </row>
    <row r="84" spans="1:28">
      <c r="A84" s="348" t="s">
        <v>59</v>
      </c>
      <c r="B84" s="883">
        <v>2410</v>
      </c>
      <c r="C84" s="883">
        <v>613</v>
      </c>
      <c r="D84" s="883" t="s">
        <v>26</v>
      </c>
      <c r="E84" s="901" t="s">
        <v>52</v>
      </c>
      <c r="F84" s="553"/>
      <c r="G84" s="553"/>
      <c r="H84" s="553"/>
      <c r="I84" s="553"/>
      <c r="J84" s="553"/>
      <c r="K84" s="553"/>
      <c r="L84" s="553"/>
      <c r="M84" s="553"/>
      <c r="N84" s="553"/>
      <c r="O84" s="553"/>
      <c r="P84" s="553"/>
      <c r="Q84" s="553"/>
      <c r="R84" s="553"/>
      <c r="S84" s="553"/>
      <c r="T84" s="903" t="s">
        <v>52</v>
      </c>
      <c r="U84" s="900"/>
      <c r="V84" s="900"/>
      <c r="W84" s="900"/>
      <c r="X84" s="903" t="s">
        <v>52</v>
      </c>
      <c r="Y84" s="900"/>
      <c r="Z84" s="900"/>
      <c r="AA84" s="900"/>
      <c r="AB84" s="884" t="s">
        <v>52</v>
      </c>
    </row>
    <row r="85" spans="1:28" ht="30">
      <c r="A85" s="348" t="s">
        <v>79</v>
      </c>
      <c r="B85" s="883"/>
      <c r="C85" s="883"/>
      <c r="D85" s="883"/>
      <c r="E85" s="902"/>
      <c r="F85" s="553"/>
      <c r="G85" s="553"/>
      <c r="H85" s="553"/>
      <c r="I85" s="553"/>
      <c r="J85" s="553"/>
      <c r="K85" s="553"/>
      <c r="L85" s="553"/>
      <c r="M85" s="553"/>
      <c r="N85" s="553"/>
      <c r="O85" s="553"/>
      <c r="P85" s="553"/>
      <c r="Q85" s="553"/>
      <c r="R85" s="553"/>
      <c r="S85" s="553"/>
      <c r="T85" s="903"/>
      <c r="U85" s="900"/>
      <c r="V85" s="900"/>
      <c r="W85" s="900"/>
      <c r="X85" s="903"/>
      <c r="Y85" s="900"/>
      <c r="Z85" s="900"/>
      <c r="AA85" s="900"/>
      <c r="AB85" s="884"/>
    </row>
    <row r="86" spans="1:28" ht="20.25" customHeight="1">
      <c r="A86" s="882" t="s">
        <v>80</v>
      </c>
      <c r="B86" s="883">
        <v>2420</v>
      </c>
      <c r="C86" s="883">
        <v>623</v>
      </c>
      <c r="D86" s="883" t="s">
        <v>26</v>
      </c>
      <c r="E86" s="901" t="s">
        <v>52</v>
      </c>
      <c r="F86" s="553"/>
      <c r="G86" s="553"/>
      <c r="H86" s="553"/>
      <c r="I86" s="553"/>
      <c r="J86" s="553"/>
      <c r="K86" s="553"/>
      <c r="L86" s="553"/>
      <c r="M86" s="553"/>
      <c r="N86" s="553"/>
      <c r="O86" s="553"/>
      <c r="P86" s="553"/>
      <c r="Q86" s="553"/>
      <c r="R86" s="553"/>
      <c r="S86" s="553"/>
      <c r="T86" s="903" t="s">
        <v>52</v>
      </c>
      <c r="U86" s="900"/>
      <c r="V86" s="900"/>
      <c r="W86" s="900"/>
      <c r="X86" s="903" t="s">
        <v>52</v>
      </c>
      <c r="Y86" s="900"/>
      <c r="Z86" s="900"/>
      <c r="AA86" s="900"/>
      <c r="AB86" s="884" t="s">
        <v>52</v>
      </c>
    </row>
    <row r="87" spans="1:28" ht="20.25" customHeight="1">
      <c r="A87" s="882"/>
      <c r="B87" s="883"/>
      <c r="C87" s="883"/>
      <c r="D87" s="883"/>
      <c r="E87" s="902"/>
      <c r="F87" s="553"/>
      <c r="G87" s="553"/>
      <c r="H87" s="553"/>
      <c r="I87" s="553"/>
      <c r="J87" s="553"/>
      <c r="K87" s="553"/>
      <c r="L87" s="553"/>
      <c r="M87" s="553"/>
      <c r="N87" s="553"/>
      <c r="O87" s="553"/>
      <c r="P87" s="553"/>
      <c r="Q87" s="553"/>
      <c r="R87" s="553"/>
      <c r="S87" s="553"/>
      <c r="T87" s="903"/>
      <c r="U87" s="900"/>
      <c r="V87" s="900"/>
      <c r="W87" s="900"/>
      <c r="X87" s="903"/>
      <c r="Y87" s="900"/>
      <c r="Z87" s="900"/>
      <c r="AA87" s="900"/>
      <c r="AB87" s="884"/>
    </row>
    <row r="88" spans="1:28" ht="62.25" customHeight="1">
      <c r="A88" s="348" t="s">
        <v>81</v>
      </c>
      <c r="B88" s="349">
        <v>2430</v>
      </c>
      <c r="C88" s="349">
        <v>634</v>
      </c>
      <c r="D88" s="349" t="s">
        <v>26</v>
      </c>
      <c r="E88" s="355" t="s">
        <v>52</v>
      </c>
      <c r="F88" s="553"/>
      <c r="G88" s="553"/>
      <c r="H88" s="553"/>
      <c r="I88" s="553"/>
      <c r="J88" s="553"/>
      <c r="K88" s="553"/>
      <c r="L88" s="553"/>
      <c r="M88" s="553"/>
      <c r="N88" s="553"/>
      <c r="O88" s="553"/>
      <c r="P88" s="553"/>
      <c r="Q88" s="553"/>
      <c r="R88" s="553"/>
      <c r="S88" s="553"/>
      <c r="T88" s="355" t="s">
        <v>52</v>
      </c>
      <c r="U88" s="354"/>
      <c r="V88" s="354"/>
      <c r="W88" s="354"/>
      <c r="X88" s="355" t="s">
        <v>52</v>
      </c>
      <c r="Y88" s="354"/>
      <c r="Z88" s="354"/>
      <c r="AA88" s="354"/>
      <c r="AB88" s="350" t="s">
        <v>52</v>
      </c>
    </row>
    <row r="89" spans="1:28" ht="30">
      <c r="A89" s="348" t="s">
        <v>82</v>
      </c>
      <c r="B89" s="349">
        <v>2440</v>
      </c>
      <c r="C89" s="349">
        <v>810</v>
      </c>
      <c r="D89" s="349" t="s">
        <v>26</v>
      </c>
      <c r="E89" s="355" t="s">
        <v>52</v>
      </c>
      <c r="F89" s="553"/>
      <c r="G89" s="553"/>
      <c r="H89" s="553"/>
      <c r="I89" s="553"/>
      <c r="J89" s="553"/>
      <c r="K89" s="553"/>
      <c r="L89" s="553"/>
      <c r="M89" s="553"/>
      <c r="N89" s="553"/>
      <c r="O89" s="553"/>
      <c r="P89" s="553"/>
      <c r="Q89" s="553"/>
      <c r="R89" s="553"/>
      <c r="S89" s="553"/>
      <c r="T89" s="355" t="s">
        <v>52</v>
      </c>
      <c r="U89" s="354"/>
      <c r="V89" s="354"/>
      <c r="W89" s="354"/>
      <c r="X89" s="355" t="s">
        <v>52</v>
      </c>
      <c r="Y89" s="354"/>
      <c r="Z89" s="354"/>
      <c r="AA89" s="354"/>
      <c r="AB89" s="350" t="s">
        <v>52</v>
      </c>
    </row>
    <row r="90" spans="1:28">
      <c r="A90" s="348" t="s">
        <v>83</v>
      </c>
      <c r="B90" s="349">
        <v>2450</v>
      </c>
      <c r="C90" s="349">
        <v>862</v>
      </c>
      <c r="D90" s="349" t="s">
        <v>26</v>
      </c>
      <c r="E90" s="355" t="s">
        <v>52</v>
      </c>
      <c r="F90" s="553"/>
      <c r="G90" s="553"/>
      <c r="H90" s="553"/>
      <c r="I90" s="553"/>
      <c r="J90" s="553"/>
      <c r="K90" s="553"/>
      <c r="L90" s="553"/>
      <c r="M90" s="553"/>
      <c r="N90" s="553"/>
      <c r="O90" s="553"/>
      <c r="P90" s="553"/>
      <c r="Q90" s="553"/>
      <c r="R90" s="553"/>
      <c r="S90" s="553"/>
      <c r="T90" s="355" t="s">
        <v>52</v>
      </c>
      <c r="U90" s="354"/>
      <c r="V90" s="354"/>
      <c r="W90" s="354"/>
      <c r="X90" s="355" t="s">
        <v>52</v>
      </c>
      <c r="Y90" s="354"/>
      <c r="Z90" s="354"/>
      <c r="AA90" s="354"/>
      <c r="AB90" s="350" t="s">
        <v>52</v>
      </c>
    </row>
    <row r="91" spans="1:28" ht="60">
      <c r="A91" s="348" t="s">
        <v>84</v>
      </c>
      <c r="B91" s="349">
        <v>2460</v>
      </c>
      <c r="C91" s="349">
        <v>863</v>
      </c>
      <c r="D91" s="349" t="s">
        <v>26</v>
      </c>
      <c r="E91" s="355" t="s">
        <v>52</v>
      </c>
      <c r="F91" s="553"/>
      <c r="G91" s="553"/>
      <c r="H91" s="553"/>
      <c r="I91" s="553"/>
      <c r="J91" s="553"/>
      <c r="K91" s="553"/>
      <c r="L91" s="553"/>
      <c r="M91" s="553"/>
      <c r="N91" s="553"/>
      <c r="O91" s="553"/>
      <c r="P91" s="553"/>
      <c r="Q91" s="553"/>
      <c r="R91" s="553"/>
      <c r="S91" s="553"/>
      <c r="T91" s="355" t="s">
        <v>52</v>
      </c>
      <c r="U91" s="354"/>
      <c r="V91" s="354"/>
      <c r="W91" s="354"/>
      <c r="X91" s="355" t="s">
        <v>52</v>
      </c>
      <c r="Y91" s="354"/>
      <c r="Z91" s="354"/>
      <c r="AA91" s="354"/>
      <c r="AB91" s="350" t="s">
        <v>52</v>
      </c>
    </row>
    <row r="92" spans="1:28">
      <c r="A92" s="882" t="s">
        <v>85</v>
      </c>
      <c r="B92" s="883">
        <v>2500</v>
      </c>
      <c r="C92" s="883" t="s">
        <v>26</v>
      </c>
      <c r="D92" s="883" t="s">
        <v>26</v>
      </c>
      <c r="E92" s="901">
        <v>0</v>
      </c>
      <c r="F92" s="553"/>
      <c r="G92" s="553"/>
      <c r="H92" s="553"/>
      <c r="I92" s="553"/>
      <c r="J92" s="553"/>
      <c r="K92" s="553"/>
      <c r="L92" s="553"/>
      <c r="M92" s="553"/>
      <c r="N92" s="553"/>
      <c r="O92" s="553"/>
      <c r="P92" s="553"/>
      <c r="Q92" s="553"/>
      <c r="R92" s="553"/>
      <c r="S92" s="553"/>
      <c r="T92" s="903">
        <v>0</v>
      </c>
      <c r="U92" s="900"/>
      <c r="V92" s="900"/>
      <c r="W92" s="900"/>
      <c r="X92" s="903">
        <v>0</v>
      </c>
      <c r="Y92" s="900"/>
      <c r="Z92" s="900"/>
      <c r="AA92" s="900"/>
      <c r="AB92" s="884" t="s">
        <v>52</v>
      </c>
    </row>
    <row r="93" spans="1:28">
      <c r="A93" s="882"/>
      <c r="B93" s="883"/>
      <c r="C93" s="883"/>
      <c r="D93" s="883"/>
      <c r="E93" s="902"/>
      <c r="F93" s="553"/>
      <c r="G93" s="553"/>
      <c r="H93" s="553"/>
      <c r="I93" s="553"/>
      <c r="J93" s="553"/>
      <c r="K93" s="553"/>
      <c r="L93" s="553"/>
      <c r="M93" s="553"/>
      <c r="N93" s="553"/>
      <c r="O93" s="553"/>
      <c r="P93" s="553"/>
      <c r="Q93" s="553"/>
      <c r="R93" s="553"/>
      <c r="S93" s="553"/>
      <c r="T93" s="903"/>
      <c r="U93" s="900"/>
      <c r="V93" s="900"/>
      <c r="W93" s="900"/>
      <c r="X93" s="903"/>
      <c r="Y93" s="900"/>
      <c r="Z93" s="900"/>
      <c r="AA93" s="900"/>
      <c r="AB93" s="884"/>
    </row>
    <row r="94" spans="1:28" ht="90">
      <c r="A94" s="348" t="s">
        <v>86</v>
      </c>
      <c r="B94" s="349">
        <v>2520</v>
      </c>
      <c r="C94" s="349">
        <v>831</v>
      </c>
      <c r="D94" s="349" t="s">
        <v>26</v>
      </c>
      <c r="E94" s="349" t="s">
        <v>52</v>
      </c>
      <c r="F94" s="553"/>
      <c r="G94" s="553"/>
      <c r="H94" s="553"/>
      <c r="I94" s="553"/>
      <c r="J94" s="553"/>
      <c r="K94" s="553"/>
      <c r="L94" s="553"/>
      <c r="M94" s="553"/>
      <c r="N94" s="553"/>
      <c r="O94" s="553"/>
      <c r="P94" s="553"/>
      <c r="Q94" s="553"/>
      <c r="R94" s="553"/>
      <c r="S94" s="553"/>
      <c r="T94" s="349" t="s">
        <v>52</v>
      </c>
      <c r="U94" s="354"/>
      <c r="V94" s="354"/>
      <c r="W94" s="354"/>
      <c r="X94" s="349" t="s">
        <v>52</v>
      </c>
      <c r="Y94" s="354"/>
      <c r="Z94" s="354"/>
      <c r="AA94" s="354"/>
      <c r="AB94" s="350" t="s">
        <v>52</v>
      </c>
    </row>
    <row r="95" spans="1:28">
      <c r="A95" s="882" t="s">
        <v>87</v>
      </c>
      <c r="B95" s="883">
        <v>2600</v>
      </c>
      <c r="C95" s="883" t="s">
        <v>26</v>
      </c>
      <c r="D95" s="883" t="s">
        <v>26</v>
      </c>
      <c r="E95" s="901">
        <f>E101</f>
        <v>24693447.789999999</v>
      </c>
      <c r="F95" s="546"/>
      <c r="G95" s="546"/>
      <c r="H95" s="546"/>
      <c r="I95" s="546"/>
      <c r="J95" s="546"/>
      <c r="K95" s="546"/>
      <c r="L95" s="546"/>
      <c r="M95" s="546"/>
      <c r="N95" s="546"/>
      <c r="O95" s="546"/>
      <c r="P95" s="546"/>
      <c r="Q95" s="546"/>
      <c r="R95" s="546"/>
      <c r="S95" s="546"/>
      <c r="T95" s="903">
        <f>T101</f>
        <v>22908114.390000001</v>
      </c>
      <c r="U95" s="930"/>
      <c r="V95" s="930"/>
      <c r="W95" s="930"/>
      <c r="X95" s="903">
        <f>X101</f>
        <v>15133385.050000001</v>
      </c>
      <c r="Y95" s="930"/>
      <c r="Z95" s="930"/>
      <c r="AA95" s="930"/>
      <c r="AB95" s="884" t="s">
        <v>52</v>
      </c>
    </row>
    <row r="96" spans="1:28">
      <c r="A96" s="929"/>
      <c r="B96" s="883"/>
      <c r="C96" s="883"/>
      <c r="D96" s="883"/>
      <c r="E96" s="902"/>
      <c r="F96" s="546"/>
      <c r="G96" s="546"/>
      <c r="H96" s="546"/>
      <c r="I96" s="546"/>
      <c r="J96" s="546"/>
      <c r="K96" s="546"/>
      <c r="L96" s="546"/>
      <c r="M96" s="546"/>
      <c r="N96" s="546"/>
      <c r="O96" s="546"/>
      <c r="P96" s="546"/>
      <c r="Q96" s="546"/>
      <c r="R96" s="546"/>
      <c r="S96" s="546"/>
      <c r="T96" s="903"/>
      <c r="U96" s="930"/>
      <c r="V96" s="930"/>
      <c r="W96" s="930"/>
      <c r="X96" s="903"/>
      <c r="Y96" s="930"/>
      <c r="Z96" s="930"/>
      <c r="AA96" s="930"/>
      <c r="AB96" s="884"/>
    </row>
    <row r="97" spans="1:28">
      <c r="A97" s="366" t="s">
        <v>31</v>
      </c>
      <c r="B97" s="932">
        <v>2610</v>
      </c>
      <c r="C97" s="883">
        <v>241</v>
      </c>
      <c r="D97" s="883" t="s">
        <v>26</v>
      </c>
      <c r="E97" s="890" t="s">
        <v>52</v>
      </c>
      <c r="F97" s="546"/>
      <c r="G97" s="546"/>
      <c r="H97" s="546"/>
      <c r="I97" s="546"/>
      <c r="J97" s="546"/>
      <c r="K97" s="546"/>
      <c r="L97" s="546"/>
      <c r="M97" s="546"/>
      <c r="N97" s="546"/>
      <c r="O97" s="546"/>
      <c r="P97" s="546"/>
      <c r="Q97" s="546"/>
      <c r="R97" s="546"/>
      <c r="S97" s="546"/>
      <c r="T97" s="883" t="s">
        <v>52</v>
      </c>
      <c r="U97" s="933"/>
      <c r="V97" s="367"/>
      <c r="W97" s="367"/>
      <c r="X97" s="883" t="s">
        <v>52</v>
      </c>
      <c r="Y97" s="933"/>
      <c r="Z97" s="367"/>
      <c r="AA97" s="367"/>
      <c r="AB97" s="884" t="s">
        <v>52</v>
      </c>
    </row>
    <row r="98" spans="1:28" ht="30">
      <c r="A98" s="368" t="s">
        <v>88</v>
      </c>
      <c r="B98" s="932"/>
      <c r="C98" s="883"/>
      <c r="D98" s="883"/>
      <c r="E98" s="891"/>
      <c r="F98" s="546"/>
      <c r="G98" s="546"/>
      <c r="H98" s="546"/>
      <c r="I98" s="546"/>
      <c r="J98" s="546"/>
      <c r="K98" s="546"/>
      <c r="L98" s="546"/>
      <c r="M98" s="546"/>
      <c r="N98" s="546"/>
      <c r="O98" s="546"/>
      <c r="P98" s="546"/>
      <c r="Q98" s="546"/>
      <c r="R98" s="546"/>
      <c r="S98" s="546"/>
      <c r="T98" s="883"/>
      <c r="U98" s="933"/>
      <c r="V98" s="367"/>
      <c r="W98" s="367"/>
      <c r="X98" s="883"/>
      <c r="Y98" s="933"/>
      <c r="Z98" s="367"/>
      <c r="AA98" s="367"/>
      <c r="AB98" s="884"/>
    </row>
    <row r="99" spans="1:28">
      <c r="A99" s="931" t="s">
        <v>7</v>
      </c>
      <c r="B99" s="883">
        <v>2630</v>
      </c>
      <c r="C99" s="883">
        <v>243</v>
      </c>
      <c r="D99" s="883" t="s">
        <v>26</v>
      </c>
      <c r="E99" s="890" t="s">
        <v>52</v>
      </c>
      <c r="F99" s="546"/>
      <c r="G99" s="546"/>
      <c r="H99" s="546"/>
      <c r="I99" s="546"/>
      <c r="J99" s="546"/>
      <c r="K99" s="546"/>
      <c r="L99" s="546"/>
      <c r="M99" s="546"/>
      <c r="N99" s="546"/>
      <c r="O99" s="546"/>
      <c r="P99" s="546"/>
      <c r="Q99" s="546"/>
      <c r="R99" s="546"/>
      <c r="S99" s="546"/>
      <c r="T99" s="883" t="s">
        <v>52</v>
      </c>
      <c r="U99" s="367"/>
      <c r="V99" s="367"/>
      <c r="W99" s="367"/>
      <c r="X99" s="883" t="s">
        <v>52</v>
      </c>
      <c r="Y99" s="367"/>
      <c r="Z99" s="367"/>
      <c r="AA99" s="367"/>
      <c r="AB99" s="884" t="s">
        <v>52</v>
      </c>
    </row>
    <row r="100" spans="1:28" ht="30" customHeight="1">
      <c r="A100" s="882"/>
      <c r="B100" s="883"/>
      <c r="C100" s="883"/>
      <c r="D100" s="883"/>
      <c r="E100" s="891"/>
      <c r="F100" s="546"/>
      <c r="G100" s="546"/>
      <c r="H100" s="546"/>
      <c r="I100" s="546"/>
      <c r="J100" s="546"/>
      <c r="K100" s="546"/>
      <c r="L100" s="546"/>
      <c r="M100" s="546"/>
      <c r="N100" s="546"/>
      <c r="O100" s="546"/>
      <c r="P100" s="546"/>
      <c r="Q100" s="546"/>
      <c r="R100" s="546"/>
      <c r="S100" s="546"/>
      <c r="T100" s="883"/>
      <c r="U100" s="367"/>
      <c r="V100" s="367"/>
      <c r="W100" s="367"/>
      <c r="X100" s="883"/>
      <c r="Y100" s="367"/>
      <c r="Z100" s="367"/>
      <c r="AA100" s="367"/>
      <c r="AB100" s="884"/>
    </row>
    <row r="101" spans="1:28" s="35" customFormat="1" ht="30">
      <c r="A101" s="356" t="s">
        <v>508</v>
      </c>
      <c r="B101" s="357">
        <v>2640</v>
      </c>
      <c r="C101" s="357">
        <v>244</v>
      </c>
      <c r="D101" s="361" t="s">
        <v>532</v>
      </c>
      <c r="E101" s="360">
        <f>SUM(E103:E110)</f>
        <v>24693447.789999999</v>
      </c>
      <c r="F101" s="524"/>
      <c r="G101" s="524"/>
      <c r="H101" s="524"/>
      <c r="I101" s="524"/>
      <c r="J101" s="524"/>
      <c r="K101" s="524"/>
      <c r="L101" s="524"/>
      <c r="M101" s="524"/>
      <c r="N101" s="524"/>
      <c r="O101" s="524"/>
      <c r="P101" s="524"/>
      <c r="Q101" s="524"/>
      <c r="R101" s="524"/>
      <c r="S101" s="524"/>
      <c r="T101" s="360">
        <f t="shared" ref="T101:X101" si="9">SUM(T103:T110)</f>
        <v>22908114.390000001</v>
      </c>
      <c r="U101" s="360">
        <f t="shared" si="9"/>
        <v>0</v>
      </c>
      <c r="V101" s="360">
        <f t="shared" si="9"/>
        <v>0</v>
      </c>
      <c r="W101" s="360">
        <f t="shared" si="9"/>
        <v>0</v>
      </c>
      <c r="X101" s="360">
        <f t="shared" si="9"/>
        <v>15133385.050000001</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52</v>
      </c>
    </row>
    <row r="102" spans="1:28" s="234" customFormat="1" hidden="1">
      <c r="A102" s="227" t="s">
        <v>59</v>
      </c>
      <c r="B102" s="228" t="s">
        <v>26</v>
      </c>
      <c r="C102" s="228" t="s">
        <v>26</v>
      </c>
      <c r="D102" s="228" t="s">
        <v>26</v>
      </c>
      <c r="E102" s="229" t="s">
        <v>26</v>
      </c>
      <c r="F102" s="546"/>
      <c r="G102" s="546"/>
      <c r="H102" s="546"/>
      <c r="I102" s="546"/>
      <c r="J102" s="546"/>
      <c r="K102" s="546"/>
      <c r="L102" s="546"/>
      <c r="M102" s="546"/>
      <c r="N102" s="546"/>
      <c r="O102" s="546"/>
      <c r="P102" s="546"/>
      <c r="Q102" s="546"/>
      <c r="R102" s="546"/>
      <c r="S102" s="546"/>
      <c r="T102" s="229" t="s">
        <v>26</v>
      </c>
      <c r="U102" s="230"/>
      <c r="V102" s="230"/>
      <c r="W102" s="230"/>
      <c r="X102" s="231" t="s">
        <v>26</v>
      </c>
      <c r="Y102" s="232"/>
      <c r="Z102" s="230"/>
      <c r="AA102" s="230"/>
      <c r="AB102" s="233" t="s">
        <v>26</v>
      </c>
    </row>
    <row r="103" spans="1:28" s="150" customFormat="1" hidden="1">
      <c r="A103" s="235" t="s">
        <v>89</v>
      </c>
      <c r="B103" s="236">
        <v>2641</v>
      </c>
      <c r="C103" s="236">
        <v>244</v>
      </c>
      <c r="D103" s="236">
        <v>221</v>
      </c>
      <c r="E103" s="237">
        <v>215942.38</v>
      </c>
      <c r="F103" s="560"/>
      <c r="G103" s="560"/>
      <c r="H103" s="560"/>
      <c r="I103" s="560"/>
      <c r="J103" s="560"/>
      <c r="K103" s="560"/>
      <c r="L103" s="560"/>
      <c r="M103" s="560"/>
      <c r="N103" s="560"/>
      <c r="O103" s="560"/>
      <c r="P103" s="560"/>
      <c r="Q103" s="560"/>
      <c r="R103" s="560"/>
      <c r="S103" s="560"/>
      <c r="T103" s="237">
        <v>218702.4</v>
      </c>
      <c r="U103" s="238"/>
      <c r="V103" s="238"/>
      <c r="W103" s="239"/>
      <c r="X103" s="237">
        <v>225038.4</v>
      </c>
      <c r="Y103" s="238">
        <v>181320</v>
      </c>
      <c r="Z103" s="238">
        <v>108464.16</v>
      </c>
      <c r="AA103" s="238">
        <v>0</v>
      </c>
      <c r="AB103" s="240" t="s">
        <v>52</v>
      </c>
    </row>
    <row r="104" spans="1:28" s="150" customFormat="1" hidden="1">
      <c r="A104" s="235" t="s">
        <v>90</v>
      </c>
      <c r="B104" s="236">
        <v>2641</v>
      </c>
      <c r="C104" s="236">
        <v>244</v>
      </c>
      <c r="D104" s="236">
        <v>222</v>
      </c>
      <c r="E104" s="237">
        <f>404945.02+31000-10003.79</f>
        <v>425941.23</v>
      </c>
      <c r="F104" s="560"/>
      <c r="G104" s="560"/>
      <c r="H104" s="560"/>
      <c r="I104" s="560"/>
      <c r="J104" s="560"/>
      <c r="K104" s="560"/>
      <c r="L104" s="560"/>
      <c r="M104" s="560"/>
      <c r="N104" s="560"/>
      <c r="O104" s="560"/>
      <c r="P104" s="560"/>
      <c r="Q104" s="560"/>
      <c r="R104" s="560"/>
      <c r="S104" s="560"/>
      <c r="T104" s="237">
        <v>407945.02</v>
      </c>
      <c r="U104" s="238"/>
      <c r="V104" s="238"/>
      <c r="W104" s="239"/>
      <c r="X104" s="237">
        <v>407945.02</v>
      </c>
      <c r="Y104" s="238">
        <v>405383.61</v>
      </c>
      <c r="Z104" s="238">
        <v>79311.92</v>
      </c>
      <c r="AA104" s="238">
        <v>0</v>
      </c>
      <c r="AB104" s="240" t="s">
        <v>52</v>
      </c>
    </row>
    <row r="105" spans="1:28" s="150" customFormat="1" hidden="1">
      <c r="A105" s="235" t="s">
        <v>91</v>
      </c>
      <c r="B105" s="236">
        <v>2641</v>
      </c>
      <c r="C105" s="236">
        <v>244</v>
      </c>
      <c r="D105" s="236">
        <v>223</v>
      </c>
      <c r="E105" s="237">
        <f>920264-70000</f>
        <v>850264</v>
      </c>
      <c r="F105" s="560"/>
      <c r="G105" s="560"/>
      <c r="H105" s="560"/>
      <c r="I105" s="560"/>
      <c r="J105" s="560"/>
      <c r="K105" s="560"/>
      <c r="L105" s="560"/>
      <c r="M105" s="560"/>
      <c r="N105" s="560"/>
      <c r="O105" s="560"/>
      <c r="P105" s="560"/>
      <c r="Q105" s="560"/>
      <c r="R105" s="560"/>
      <c r="S105" s="560"/>
      <c r="T105" s="237">
        <v>931405.93</v>
      </c>
      <c r="U105" s="238"/>
      <c r="V105" s="238"/>
      <c r="W105" s="236"/>
      <c r="X105" s="237">
        <v>944903.85</v>
      </c>
      <c r="Y105" s="238">
        <v>0</v>
      </c>
      <c r="Z105" s="238">
        <v>2057755.88</v>
      </c>
      <c r="AA105" s="238">
        <v>0</v>
      </c>
      <c r="AB105" s="240" t="s">
        <v>52</v>
      </c>
    </row>
    <row r="106" spans="1:28" s="150" customFormat="1" ht="30" hidden="1">
      <c r="A106" s="235" t="s">
        <v>92</v>
      </c>
      <c r="B106" s="236">
        <v>2641</v>
      </c>
      <c r="C106" s="236">
        <v>244</v>
      </c>
      <c r="D106" s="236">
        <v>224</v>
      </c>
      <c r="E106" s="237">
        <v>12428476.800000001</v>
      </c>
      <c r="F106" s="560"/>
      <c r="G106" s="560"/>
      <c r="H106" s="560"/>
      <c r="I106" s="560"/>
      <c r="J106" s="560"/>
      <c r="K106" s="560"/>
      <c r="L106" s="560"/>
      <c r="M106" s="560"/>
      <c r="N106" s="560"/>
      <c r="O106" s="560"/>
      <c r="P106" s="560"/>
      <c r="Q106" s="560"/>
      <c r="R106" s="560"/>
      <c r="S106" s="560"/>
      <c r="T106" s="237">
        <v>12428476.800000001</v>
      </c>
      <c r="U106" s="238"/>
      <c r="V106" s="238"/>
      <c r="W106" s="236"/>
      <c r="X106" s="237">
        <v>4721038.38</v>
      </c>
      <c r="Y106" s="238">
        <v>32196.28</v>
      </c>
      <c r="Z106" s="238">
        <v>1952688.71</v>
      </c>
      <c r="AA106" s="238">
        <v>0</v>
      </c>
      <c r="AB106" s="240" t="s">
        <v>52</v>
      </c>
    </row>
    <row r="107" spans="1:28" s="150" customFormat="1" ht="30" hidden="1">
      <c r="A107" s="235" t="s">
        <v>93</v>
      </c>
      <c r="B107" s="236">
        <v>2641</v>
      </c>
      <c r="C107" s="236">
        <v>244</v>
      </c>
      <c r="D107" s="236">
        <v>225</v>
      </c>
      <c r="E107" s="237">
        <f>600593.46+239575.07+25000+11400+156353.31+8000</f>
        <v>1040921.84</v>
      </c>
      <c r="F107" s="560"/>
      <c r="G107" s="560"/>
      <c r="H107" s="560"/>
      <c r="I107" s="560"/>
      <c r="J107" s="560"/>
      <c r="K107" s="560"/>
      <c r="L107" s="560"/>
      <c r="M107" s="560"/>
      <c r="N107" s="560"/>
      <c r="O107" s="560"/>
      <c r="P107" s="560"/>
      <c r="Q107" s="560"/>
      <c r="R107" s="560"/>
      <c r="S107" s="560"/>
      <c r="T107" s="237">
        <v>513343.46</v>
      </c>
      <c r="U107" s="238"/>
      <c r="V107" s="238"/>
      <c r="W107" s="236"/>
      <c r="X107" s="237">
        <v>516301.48</v>
      </c>
      <c r="Y107" s="238">
        <v>32196.28</v>
      </c>
      <c r="Z107" s="238">
        <v>1952688.71</v>
      </c>
      <c r="AA107" s="238">
        <v>0</v>
      </c>
      <c r="AB107" s="240" t="s">
        <v>52</v>
      </c>
    </row>
    <row r="108" spans="1:28" s="150" customFormat="1" hidden="1">
      <c r="A108" s="235" t="s">
        <v>94</v>
      </c>
      <c r="B108" s="236">
        <v>2641</v>
      </c>
      <c r="C108" s="236">
        <v>244</v>
      </c>
      <c r="D108" s="236">
        <v>226</v>
      </c>
      <c r="E108" s="237">
        <f>6876602+61.05-150000+125000+131518.82-61.05-232726.23-304688.32-33338.99-64093.24</f>
        <v>6348274.04</v>
      </c>
      <c r="F108" s="560"/>
      <c r="G108" s="560"/>
      <c r="H108" s="560"/>
      <c r="I108" s="560">
        <f>J108+K108</f>
        <v>-800</v>
      </c>
      <c r="J108" s="560"/>
      <c r="K108" s="560">
        <v>-800</v>
      </c>
      <c r="L108" s="560"/>
      <c r="M108" s="560"/>
      <c r="N108" s="560"/>
      <c r="O108" s="560"/>
      <c r="P108" s="560"/>
      <c r="Q108" s="560"/>
      <c r="R108" s="560"/>
      <c r="S108" s="560"/>
      <c r="T108" s="237">
        <f>4042779.12+2168787.38</f>
        <v>6211566.5</v>
      </c>
      <c r="U108" s="238"/>
      <c r="V108" s="238"/>
      <c r="W108" s="236"/>
      <c r="X108" s="237">
        <f>3963038.16+2294502.78</f>
        <v>6257540.9400000004</v>
      </c>
      <c r="Y108" s="238">
        <v>2742231.09</v>
      </c>
      <c r="Z108" s="238">
        <v>3644044.04</v>
      </c>
      <c r="AA108" s="238">
        <v>0</v>
      </c>
      <c r="AB108" s="240" t="s">
        <v>52</v>
      </c>
    </row>
    <row r="109" spans="1:28" s="150" customFormat="1" hidden="1">
      <c r="A109" s="235" t="s">
        <v>95</v>
      </c>
      <c r="B109" s="236">
        <v>2641</v>
      </c>
      <c r="C109" s="236">
        <v>244</v>
      </c>
      <c r="D109" s="236">
        <v>310</v>
      </c>
      <c r="E109" s="237">
        <f>1061080+194726.23+64093.24+36972</f>
        <v>1356871.47</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52</v>
      </c>
    </row>
    <row r="110" spans="1:28" s="150" customFormat="1" ht="30" hidden="1">
      <c r="A110" s="235" t="s">
        <v>96</v>
      </c>
      <c r="B110" s="236">
        <v>2641</v>
      </c>
      <c r="C110" s="236">
        <v>244</v>
      </c>
      <c r="D110" s="236">
        <v>340</v>
      </c>
      <c r="E110" s="237">
        <f>1993417.04+33338.99</f>
        <v>2026756.03</v>
      </c>
      <c r="F110" s="557"/>
      <c r="G110" s="557"/>
      <c r="H110" s="557"/>
      <c r="I110" s="557"/>
      <c r="J110" s="557"/>
      <c r="K110" s="557"/>
      <c r="L110" s="557"/>
      <c r="M110" s="557"/>
      <c r="N110" s="557"/>
      <c r="O110" s="557"/>
      <c r="P110" s="557"/>
      <c r="Q110" s="557"/>
      <c r="R110" s="557"/>
      <c r="S110" s="557"/>
      <c r="T110" s="237">
        <v>1996674.28</v>
      </c>
      <c r="U110" s="238"/>
      <c r="V110" s="238"/>
      <c r="W110" s="236"/>
      <c r="X110" s="237">
        <v>1860616.98</v>
      </c>
      <c r="Y110" s="238">
        <v>51330</v>
      </c>
      <c r="Z110" s="238">
        <v>0</v>
      </c>
      <c r="AA110" s="238">
        <v>0</v>
      </c>
      <c r="AB110" s="240" t="s">
        <v>52</v>
      </c>
    </row>
    <row r="111" spans="1:28" s="120" customFormat="1" ht="24.75" customHeight="1">
      <c r="A111" s="348" t="s">
        <v>509</v>
      </c>
      <c r="B111" s="620">
        <v>2650</v>
      </c>
      <c r="C111" s="620">
        <v>247</v>
      </c>
      <c r="D111" s="349" t="s">
        <v>26</v>
      </c>
      <c r="E111" s="349" t="s">
        <v>52</v>
      </c>
      <c r="F111" s="546"/>
      <c r="G111" s="546"/>
      <c r="H111" s="546"/>
      <c r="I111" s="546"/>
      <c r="J111" s="546"/>
      <c r="K111" s="546"/>
      <c r="L111" s="546"/>
      <c r="M111" s="546"/>
      <c r="N111" s="546"/>
      <c r="O111" s="546"/>
      <c r="P111" s="546"/>
      <c r="Q111" s="546"/>
      <c r="R111" s="546"/>
      <c r="S111" s="546"/>
      <c r="T111" s="349" t="s">
        <v>52</v>
      </c>
      <c r="U111" s="39"/>
      <c r="V111" s="367"/>
      <c r="W111" s="367"/>
      <c r="X111" s="349" t="s">
        <v>52</v>
      </c>
      <c r="Y111" s="39"/>
      <c r="Z111" s="367"/>
      <c r="AA111" s="367"/>
      <c r="AB111" s="350" t="s">
        <v>52</v>
      </c>
    </row>
    <row r="112" spans="1:28" ht="30">
      <c r="A112" s="348" t="s">
        <v>97</v>
      </c>
      <c r="B112" s="620">
        <v>2700</v>
      </c>
      <c r="C112" s="620">
        <v>400</v>
      </c>
      <c r="D112" s="349" t="s">
        <v>26</v>
      </c>
      <c r="E112" s="349" t="s">
        <v>52</v>
      </c>
      <c r="F112" s="546"/>
      <c r="G112" s="546"/>
      <c r="H112" s="546"/>
      <c r="I112" s="546"/>
      <c r="J112" s="546"/>
      <c r="K112" s="546"/>
      <c r="L112" s="546"/>
      <c r="M112" s="546"/>
      <c r="N112" s="546"/>
      <c r="O112" s="546"/>
      <c r="P112" s="546"/>
      <c r="Q112" s="546"/>
      <c r="R112" s="546"/>
      <c r="S112" s="546"/>
      <c r="T112" s="349" t="s">
        <v>52</v>
      </c>
      <c r="U112" s="39"/>
      <c r="V112" s="367"/>
      <c r="W112" s="367"/>
      <c r="X112" s="349" t="s">
        <v>52</v>
      </c>
      <c r="Y112" s="39"/>
      <c r="Z112" s="367"/>
      <c r="AA112" s="367"/>
      <c r="AB112" s="350" t="s">
        <v>52</v>
      </c>
    </row>
    <row r="113" spans="1:28" ht="45">
      <c r="A113" s="348" t="s">
        <v>98</v>
      </c>
      <c r="B113" s="620">
        <v>2710</v>
      </c>
      <c r="C113" s="620">
        <v>406</v>
      </c>
      <c r="D113" s="349" t="s">
        <v>26</v>
      </c>
      <c r="E113" s="349" t="s">
        <v>52</v>
      </c>
      <c r="F113" s="546"/>
      <c r="G113" s="546"/>
      <c r="H113" s="546"/>
      <c r="I113" s="546"/>
      <c r="J113" s="546"/>
      <c r="K113" s="546"/>
      <c r="L113" s="546"/>
      <c r="M113" s="546"/>
      <c r="N113" s="546"/>
      <c r="O113" s="546"/>
      <c r="P113" s="546"/>
      <c r="Q113" s="546"/>
      <c r="R113" s="546"/>
      <c r="S113" s="546"/>
      <c r="T113" s="349" t="s">
        <v>52</v>
      </c>
      <c r="U113" s="39"/>
      <c r="V113" s="367"/>
      <c r="W113" s="367"/>
      <c r="X113" s="349" t="s">
        <v>52</v>
      </c>
      <c r="Y113" s="39"/>
      <c r="Z113" s="367"/>
      <c r="AA113" s="367"/>
      <c r="AB113" s="350" t="s">
        <v>52</v>
      </c>
    </row>
    <row r="114" spans="1:28" ht="45">
      <c r="A114" s="348" t="s">
        <v>99</v>
      </c>
      <c r="B114" s="620">
        <v>2720</v>
      </c>
      <c r="C114" s="620">
        <v>407</v>
      </c>
      <c r="D114" s="349" t="s">
        <v>26</v>
      </c>
      <c r="E114" s="349" t="s">
        <v>52</v>
      </c>
      <c r="F114" s="546"/>
      <c r="G114" s="546"/>
      <c r="H114" s="546"/>
      <c r="I114" s="546"/>
      <c r="J114" s="546"/>
      <c r="K114" s="546"/>
      <c r="L114" s="546"/>
      <c r="M114" s="546"/>
      <c r="N114" s="546"/>
      <c r="O114" s="546"/>
      <c r="P114" s="546"/>
      <c r="Q114" s="546"/>
      <c r="R114" s="546"/>
      <c r="S114" s="546"/>
      <c r="T114" s="349" t="s">
        <v>52</v>
      </c>
      <c r="U114" s="39"/>
      <c r="V114" s="367"/>
      <c r="W114" s="367"/>
      <c r="X114" s="349" t="s">
        <v>52</v>
      </c>
      <c r="Y114" s="39"/>
      <c r="Z114" s="367"/>
      <c r="AA114" s="367"/>
      <c r="AB114" s="350" t="s">
        <v>52</v>
      </c>
    </row>
    <row r="115" spans="1:28">
      <c r="A115" s="882" t="s">
        <v>51</v>
      </c>
      <c r="B115" s="883">
        <v>3000</v>
      </c>
      <c r="C115" s="883">
        <v>100</v>
      </c>
      <c r="D115" s="884" t="s">
        <v>26</v>
      </c>
      <c r="E115" s="936">
        <v>-100000</v>
      </c>
      <c r="F115" s="554"/>
      <c r="G115" s="554"/>
      <c r="H115" s="554"/>
      <c r="I115" s="554"/>
      <c r="J115" s="554"/>
      <c r="K115" s="554"/>
      <c r="L115" s="554"/>
      <c r="M115" s="554"/>
      <c r="N115" s="554"/>
      <c r="O115" s="554"/>
      <c r="P115" s="554"/>
      <c r="Q115" s="554"/>
      <c r="R115" s="554"/>
      <c r="S115" s="554"/>
      <c r="T115" s="884" t="s">
        <v>52</v>
      </c>
      <c r="U115" s="350"/>
      <c r="V115" s="350"/>
      <c r="W115" s="350"/>
      <c r="X115" s="884" t="s">
        <v>52</v>
      </c>
      <c r="Y115" s="349"/>
      <c r="Z115" s="349"/>
      <c r="AA115" s="349"/>
      <c r="AB115" s="884" t="s">
        <v>26</v>
      </c>
    </row>
    <row r="116" spans="1:28">
      <c r="A116" s="882"/>
      <c r="B116" s="883"/>
      <c r="C116" s="883"/>
      <c r="D116" s="884"/>
      <c r="E116" s="937"/>
      <c r="F116" s="554"/>
      <c r="G116" s="554"/>
      <c r="H116" s="554"/>
      <c r="I116" s="554"/>
      <c r="J116" s="554"/>
      <c r="K116" s="554"/>
      <c r="L116" s="554"/>
      <c r="M116" s="554"/>
      <c r="N116" s="554"/>
      <c r="O116" s="554"/>
      <c r="P116" s="554"/>
      <c r="Q116" s="554"/>
      <c r="R116" s="554"/>
      <c r="S116" s="554"/>
      <c r="T116" s="884"/>
      <c r="U116" s="350"/>
      <c r="V116" s="350"/>
      <c r="W116" s="350"/>
      <c r="X116" s="884"/>
      <c r="Y116" s="349"/>
      <c r="Z116" s="349"/>
      <c r="AA116" s="349"/>
      <c r="AB116" s="884"/>
    </row>
    <row r="117" spans="1:28" s="196" customFormat="1" hidden="1">
      <c r="A117" s="191" t="s">
        <v>31</v>
      </c>
      <c r="B117" s="214" t="s">
        <v>26</v>
      </c>
      <c r="C117" s="214" t="s">
        <v>26</v>
      </c>
      <c r="D117" s="195" t="s">
        <v>26</v>
      </c>
      <c r="E117" s="195" t="s">
        <v>26</v>
      </c>
      <c r="F117" s="554"/>
      <c r="G117" s="554"/>
      <c r="H117" s="554"/>
      <c r="I117" s="554"/>
      <c r="J117" s="554"/>
      <c r="K117" s="554"/>
      <c r="L117" s="554"/>
      <c r="M117" s="554"/>
      <c r="N117" s="554"/>
      <c r="O117" s="554"/>
      <c r="P117" s="554"/>
      <c r="Q117" s="554"/>
      <c r="R117" s="554"/>
      <c r="S117" s="554"/>
      <c r="T117" s="195" t="s">
        <v>26</v>
      </c>
      <c r="U117" s="195"/>
      <c r="V117" s="195"/>
      <c r="W117" s="195"/>
      <c r="X117" s="195" t="s">
        <v>26</v>
      </c>
      <c r="Y117" s="192"/>
      <c r="Z117" s="192"/>
      <c r="AA117" s="192"/>
      <c r="AB117" s="195" t="s">
        <v>26</v>
      </c>
    </row>
    <row r="118" spans="1:28" ht="30">
      <c r="A118" s="348" t="s">
        <v>510</v>
      </c>
      <c r="B118" s="349">
        <v>3010</v>
      </c>
      <c r="C118" s="349">
        <v>180</v>
      </c>
      <c r="D118" s="350" t="s">
        <v>26</v>
      </c>
      <c r="E118" s="350" t="s">
        <v>52</v>
      </c>
      <c r="F118" s="554"/>
      <c r="G118" s="554"/>
      <c r="H118" s="554"/>
      <c r="I118" s="554"/>
      <c r="J118" s="554"/>
      <c r="K118" s="554"/>
      <c r="L118" s="554"/>
      <c r="M118" s="554"/>
      <c r="N118" s="554"/>
      <c r="O118" s="554"/>
      <c r="P118" s="554"/>
      <c r="Q118" s="554"/>
      <c r="R118" s="554"/>
      <c r="S118" s="554"/>
      <c r="T118" s="350" t="s">
        <v>52</v>
      </c>
      <c r="U118" s="350"/>
      <c r="V118" s="350"/>
      <c r="W118" s="350"/>
      <c r="X118" s="350" t="s">
        <v>52</v>
      </c>
      <c r="Y118" s="349"/>
      <c r="Z118" s="349"/>
      <c r="AA118" s="349"/>
      <c r="AB118" s="350" t="s">
        <v>26</v>
      </c>
    </row>
    <row r="119" spans="1:28" ht="7.5" customHeight="1">
      <c r="A119" s="882" t="s">
        <v>100</v>
      </c>
      <c r="B119" s="883">
        <v>3020</v>
      </c>
      <c r="C119" s="883">
        <v>180</v>
      </c>
      <c r="D119" s="884" t="s">
        <v>26</v>
      </c>
      <c r="E119" s="923" t="s">
        <v>52</v>
      </c>
      <c r="F119" s="554"/>
      <c r="G119" s="554"/>
      <c r="H119" s="554"/>
      <c r="I119" s="554"/>
      <c r="J119" s="554"/>
      <c r="K119" s="554"/>
      <c r="L119" s="554"/>
      <c r="M119" s="554"/>
      <c r="N119" s="554"/>
      <c r="O119" s="554"/>
      <c r="P119" s="554"/>
      <c r="Q119" s="554"/>
      <c r="R119" s="554"/>
      <c r="S119" s="554"/>
      <c r="T119" s="884" t="s">
        <v>52</v>
      </c>
      <c r="U119" s="350"/>
      <c r="V119" s="350"/>
      <c r="W119" s="350"/>
      <c r="X119" s="884" t="s">
        <v>52</v>
      </c>
      <c r="Y119" s="349"/>
      <c r="Z119" s="349"/>
      <c r="AA119" s="349"/>
      <c r="AB119" s="884" t="s">
        <v>26</v>
      </c>
    </row>
    <row r="120" spans="1:28">
      <c r="A120" s="882"/>
      <c r="B120" s="883"/>
      <c r="C120" s="883"/>
      <c r="D120" s="884"/>
      <c r="E120" s="924"/>
      <c r="F120" s="554"/>
      <c r="G120" s="554"/>
      <c r="H120" s="554"/>
      <c r="I120" s="554"/>
      <c r="J120" s="554"/>
      <c r="K120" s="554"/>
      <c r="L120" s="554"/>
      <c r="M120" s="554"/>
      <c r="N120" s="554"/>
      <c r="O120" s="554"/>
      <c r="P120" s="554"/>
      <c r="Q120" s="554"/>
      <c r="R120" s="554"/>
      <c r="S120" s="554"/>
      <c r="T120" s="884"/>
      <c r="U120" s="350"/>
      <c r="V120" s="350"/>
      <c r="W120" s="350"/>
      <c r="X120" s="884"/>
      <c r="Y120" s="349"/>
      <c r="Z120" s="349"/>
      <c r="AA120" s="349"/>
      <c r="AB120" s="884"/>
    </row>
    <row r="121" spans="1:28" ht="9" customHeight="1">
      <c r="A121" s="882" t="s">
        <v>101</v>
      </c>
      <c r="B121" s="883">
        <v>3030</v>
      </c>
      <c r="C121" s="883">
        <v>180</v>
      </c>
      <c r="D121" s="884" t="s">
        <v>26</v>
      </c>
      <c r="E121" s="936">
        <v>-100000</v>
      </c>
      <c r="F121" s="554"/>
      <c r="G121" s="554"/>
      <c r="H121" s="554"/>
      <c r="I121" s="554"/>
      <c r="J121" s="554"/>
      <c r="K121" s="554"/>
      <c r="L121" s="554"/>
      <c r="M121" s="554"/>
      <c r="N121" s="554"/>
      <c r="O121" s="554"/>
      <c r="P121" s="554"/>
      <c r="Q121" s="554"/>
      <c r="R121" s="554"/>
      <c r="S121" s="554"/>
      <c r="T121" s="884" t="s">
        <v>52</v>
      </c>
      <c r="U121" s="350"/>
      <c r="V121" s="350"/>
      <c r="W121" s="350"/>
      <c r="X121" s="884" t="s">
        <v>52</v>
      </c>
      <c r="Y121" s="349"/>
      <c r="Z121" s="349"/>
      <c r="AA121" s="349"/>
      <c r="AB121" s="884" t="s">
        <v>26</v>
      </c>
    </row>
    <row r="122" spans="1:28">
      <c r="A122" s="882"/>
      <c r="B122" s="883"/>
      <c r="C122" s="883"/>
      <c r="D122" s="884"/>
      <c r="E122" s="937"/>
      <c r="F122" s="554"/>
      <c r="G122" s="554"/>
      <c r="H122" s="554"/>
      <c r="I122" s="554"/>
      <c r="J122" s="554"/>
      <c r="K122" s="554"/>
      <c r="L122" s="554"/>
      <c r="M122" s="554"/>
      <c r="N122" s="554"/>
      <c r="O122" s="554"/>
      <c r="P122" s="554"/>
      <c r="Q122" s="554"/>
      <c r="R122" s="554"/>
      <c r="S122" s="554"/>
      <c r="T122" s="884"/>
      <c r="U122" s="350"/>
      <c r="V122" s="350"/>
      <c r="W122" s="350"/>
      <c r="X122" s="884"/>
      <c r="Y122" s="349"/>
      <c r="Z122" s="349"/>
      <c r="AA122" s="349"/>
      <c r="AB122" s="884"/>
    </row>
    <row r="123" spans="1:28">
      <c r="A123" s="348" t="s">
        <v>102</v>
      </c>
      <c r="B123" s="349">
        <v>4000</v>
      </c>
      <c r="C123" s="349" t="s">
        <v>26</v>
      </c>
      <c r="D123" s="350" t="s">
        <v>26</v>
      </c>
      <c r="E123" s="350" t="s">
        <v>52</v>
      </c>
      <c r="F123" s="554"/>
      <c r="G123" s="554"/>
      <c r="H123" s="554"/>
      <c r="I123" s="554"/>
      <c r="J123" s="554"/>
      <c r="K123" s="554"/>
      <c r="L123" s="554"/>
      <c r="M123" s="554"/>
      <c r="N123" s="554"/>
      <c r="O123" s="554"/>
      <c r="P123" s="554"/>
      <c r="Q123" s="554"/>
      <c r="R123" s="554"/>
      <c r="S123" s="554"/>
      <c r="T123" s="350" t="s">
        <v>52</v>
      </c>
      <c r="U123" s="350"/>
      <c r="V123" s="350"/>
      <c r="W123" s="350"/>
      <c r="X123" s="350" t="s">
        <v>52</v>
      </c>
      <c r="Y123" s="349"/>
      <c r="Z123" s="349"/>
      <c r="AA123" s="349"/>
      <c r="AB123" s="350" t="s">
        <v>26</v>
      </c>
    </row>
    <row r="124" spans="1:28" s="196" customFormat="1" hidden="1">
      <c r="A124" s="191" t="s">
        <v>59</v>
      </c>
      <c r="B124" s="214" t="s">
        <v>26</v>
      </c>
      <c r="C124" s="214" t="s">
        <v>26</v>
      </c>
      <c r="D124" s="195" t="s">
        <v>26</v>
      </c>
      <c r="E124" s="195" t="s">
        <v>26</v>
      </c>
      <c r="F124" s="554"/>
      <c r="G124" s="554"/>
      <c r="H124" s="554"/>
      <c r="I124" s="554"/>
      <c r="J124" s="554"/>
      <c r="K124" s="554"/>
      <c r="L124" s="554"/>
      <c r="M124" s="554"/>
      <c r="N124" s="554"/>
      <c r="O124" s="554"/>
      <c r="P124" s="554"/>
      <c r="Q124" s="554"/>
      <c r="R124" s="554"/>
      <c r="S124" s="554"/>
      <c r="T124" s="195" t="s">
        <v>26</v>
      </c>
      <c r="U124" s="195"/>
      <c r="V124" s="195"/>
      <c r="W124" s="195"/>
      <c r="X124" s="195" t="s">
        <v>26</v>
      </c>
      <c r="Y124" s="192"/>
      <c r="Z124" s="192"/>
      <c r="AA124" s="192"/>
      <c r="AB124" s="195" t="s">
        <v>26</v>
      </c>
    </row>
    <row r="125" spans="1:28" ht="30">
      <c r="A125" s="351" t="s">
        <v>511</v>
      </c>
      <c r="B125" s="349">
        <v>4010</v>
      </c>
      <c r="C125" s="349">
        <v>610</v>
      </c>
      <c r="D125" s="350" t="s">
        <v>26</v>
      </c>
      <c r="E125" s="350" t="s">
        <v>52</v>
      </c>
      <c r="F125" s="554"/>
      <c r="G125" s="554"/>
      <c r="H125" s="554"/>
      <c r="I125" s="554"/>
      <c r="J125" s="554"/>
      <c r="K125" s="554"/>
      <c r="L125" s="554"/>
      <c r="M125" s="554"/>
      <c r="N125" s="554"/>
      <c r="O125" s="554"/>
      <c r="P125" s="554"/>
      <c r="Q125" s="554"/>
      <c r="R125" s="554"/>
      <c r="S125" s="554"/>
      <c r="T125" s="350" t="s">
        <v>52</v>
      </c>
      <c r="U125" s="350"/>
      <c r="V125" s="350"/>
      <c r="W125" s="350"/>
      <c r="X125" s="350" t="s">
        <v>52</v>
      </c>
      <c r="Y125" s="349"/>
      <c r="Z125" s="349"/>
      <c r="AA125" s="349"/>
      <c r="AB125" s="350" t="s">
        <v>26</v>
      </c>
    </row>
    <row r="126" spans="1:28" ht="60">
      <c r="A126" s="351" t="s">
        <v>103</v>
      </c>
      <c r="B126" s="349">
        <v>4020</v>
      </c>
      <c r="C126" s="349">
        <v>610</v>
      </c>
      <c r="D126" s="350" t="s">
        <v>26</v>
      </c>
      <c r="E126" s="350" t="s">
        <v>52</v>
      </c>
      <c r="F126" s="554"/>
      <c r="G126" s="554"/>
      <c r="H126" s="554"/>
      <c r="I126" s="554"/>
      <c r="J126" s="554"/>
      <c r="K126" s="554"/>
      <c r="L126" s="554"/>
      <c r="M126" s="554"/>
      <c r="N126" s="554"/>
      <c r="O126" s="554"/>
      <c r="P126" s="554"/>
      <c r="Q126" s="554"/>
      <c r="R126" s="554"/>
      <c r="S126" s="554"/>
      <c r="T126" s="350" t="s">
        <v>52</v>
      </c>
      <c r="U126" s="350"/>
      <c r="V126" s="350"/>
      <c r="W126" s="350"/>
      <c r="X126" s="350" t="s">
        <v>52</v>
      </c>
      <c r="Y126" s="349"/>
      <c r="Z126" s="349"/>
      <c r="AA126" s="349"/>
      <c r="AB126" s="350" t="s">
        <v>26</v>
      </c>
    </row>
    <row r="127" spans="1:28">
      <c r="A127" s="42" t="s">
        <v>106</v>
      </c>
      <c r="E127" s="40"/>
      <c r="F127" s="525"/>
      <c r="G127" s="525"/>
      <c r="H127" s="525"/>
      <c r="I127" s="525"/>
      <c r="J127" s="525"/>
      <c r="K127" s="525"/>
      <c r="L127" s="525"/>
      <c r="M127" s="525"/>
      <c r="N127" s="525"/>
      <c r="O127" s="525"/>
      <c r="P127" s="525"/>
      <c r="Q127" s="525"/>
      <c r="R127" s="525"/>
      <c r="S127" s="525"/>
      <c r="T127" s="40"/>
      <c r="U127" s="40"/>
      <c r="V127" s="40"/>
      <c r="W127" s="40"/>
      <c r="X127" s="40"/>
      <c r="Y127" s="40"/>
      <c r="Z127" s="40"/>
      <c r="AA127" s="40"/>
      <c r="AB127" s="41"/>
    </row>
    <row r="128" spans="1:28">
      <c r="A128" s="42" t="s">
        <v>107</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108</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3" t="s">
        <v>109</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110</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111</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112</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113</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2" t="s">
        <v>114</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115</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sheetData>
  <mergeCells count="365">
    <mergeCell ref="A58:A59"/>
    <mergeCell ref="A121:A122"/>
    <mergeCell ref="B121:B122"/>
    <mergeCell ref="C121:C122"/>
    <mergeCell ref="D121:D122"/>
    <mergeCell ref="E121:E122"/>
    <mergeCell ref="T121:T122"/>
    <mergeCell ref="X121:X122"/>
    <mergeCell ref="AB121:AB122"/>
    <mergeCell ref="A115:A116"/>
    <mergeCell ref="B115:B116"/>
    <mergeCell ref="C115:C116"/>
    <mergeCell ref="D115:D116"/>
    <mergeCell ref="E115:E116"/>
    <mergeCell ref="T115:T116"/>
    <mergeCell ref="X115:X116"/>
    <mergeCell ref="AB115:AB116"/>
    <mergeCell ref="A119:A120"/>
    <mergeCell ref="B119:B120"/>
    <mergeCell ref="C119:C120"/>
    <mergeCell ref="D119:D120"/>
    <mergeCell ref="E119:E120"/>
    <mergeCell ref="T119:T120"/>
    <mergeCell ref="X119:X120"/>
    <mergeCell ref="AB119:AB120"/>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T92:T93"/>
    <mergeCell ref="U92:U93"/>
    <mergeCell ref="V92:V93"/>
    <mergeCell ref="W92:W93"/>
    <mergeCell ref="Y84:Y85"/>
    <mergeCell ref="Z84:Z85"/>
    <mergeCell ref="X92:X93"/>
    <mergeCell ref="Y92:Y93"/>
    <mergeCell ref="Z92:Z93"/>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B84:B85"/>
    <mergeCell ref="C84:C85"/>
    <mergeCell ref="D84:D85"/>
    <mergeCell ref="E84:E85"/>
    <mergeCell ref="T84:T85"/>
    <mergeCell ref="U84:U85"/>
    <mergeCell ref="V84:V85"/>
    <mergeCell ref="W84:W85"/>
    <mergeCell ref="X84:X85"/>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64:A65"/>
    <mergeCell ref="B64:B65"/>
    <mergeCell ref="C64:C65"/>
    <mergeCell ref="D64:D65"/>
    <mergeCell ref="E64:E65"/>
    <mergeCell ref="T64:T65"/>
    <mergeCell ref="U64:U65"/>
    <mergeCell ref="V64:V65"/>
    <mergeCell ref="W64:W65"/>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E38:E39"/>
    <mergeCell ref="T38:T39"/>
    <mergeCell ref="U38:U39"/>
    <mergeCell ref="V38:V39"/>
    <mergeCell ref="W38:W39"/>
    <mergeCell ref="X38:X39"/>
    <mergeCell ref="A28:A29"/>
    <mergeCell ref="B28:B29"/>
    <mergeCell ref="C28:C29"/>
    <mergeCell ref="D28:D29"/>
    <mergeCell ref="E28:E29"/>
    <mergeCell ref="T28:T29"/>
    <mergeCell ref="X28:X29"/>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5" location="_edn2" display="Выплаты, уменьшающие доход, всего"/>
    <hyperlink ref="A123" location="_edn3" display="Прочие выплаты, всего"/>
    <hyperlink ref="A127" location="_ednref1" display="[i] В сучае утверждения решения о бюджете на текущий финансовый год и плановый период."/>
    <hyperlink ref="A128" location="_ednref2" display="[ii] Указывается дата подписания  Плана, а в случае утверждения Плана уполномоченным лицом учреждения-дата утверждения Плана."/>
    <hyperlink ref="A129" location="_ednref3" display="[iii] В графе 3 отражаются:"/>
    <hyperlink ref="A135"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6"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202</v>
      </c>
    </row>
    <row r="8" spans="1:3">
      <c r="A8" s="47"/>
      <c r="B8" s="47"/>
      <c r="C8" s="47"/>
    </row>
    <row r="10" spans="1:3" ht="148.5" customHeight="1">
      <c r="B10" s="49" t="s">
        <v>203</v>
      </c>
    </row>
    <row r="11" spans="1:3">
      <c r="A11" s="47"/>
      <c r="B11" s="47"/>
      <c r="C11" s="47"/>
    </row>
    <row r="13" spans="1:3" ht="210.75" customHeight="1">
      <c r="B13" s="49" t="s">
        <v>204</v>
      </c>
    </row>
    <row r="15" spans="1:3">
      <c r="A15" s="47"/>
      <c r="B15" s="47"/>
      <c r="C15" s="47"/>
    </row>
    <row r="17" spans="2:2" ht="303.75" customHeight="1">
      <c r="B17" s="48" t="s">
        <v>205</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B108"/>
  <sheetViews>
    <sheetView tabSelected="1" view="pageBreakPreview" topLeftCell="A28" zoomScale="70" zoomScaleNormal="85" zoomScaleSheetLayoutView="70" workbookViewId="0">
      <selection activeCell="CX49" sqref="CX49"/>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8.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962" t="s">
        <v>120</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c r="BI1" s="962"/>
      <c r="BJ1" s="962"/>
      <c r="BK1" s="962"/>
      <c r="BL1" s="962"/>
      <c r="BM1" s="962"/>
      <c r="BN1" s="962"/>
      <c r="BO1" s="962"/>
      <c r="BP1" s="962"/>
      <c r="BQ1" s="962"/>
      <c r="BR1" s="962"/>
      <c r="BS1" s="962"/>
      <c r="BT1" s="962"/>
      <c r="BU1" s="962"/>
      <c r="BV1" s="962"/>
      <c r="BW1" s="962"/>
      <c r="BX1" s="962"/>
      <c r="BY1" s="962"/>
      <c r="BZ1" s="962"/>
      <c r="CA1" s="962"/>
      <c r="CB1" s="962"/>
      <c r="CC1" s="962"/>
      <c r="CD1" s="962"/>
      <c r="CE1" s="962"/>
      <c r="CF1" s="962"/>
      <c r="CG1" s="962"/>
      <c r="CH1" s="962"/>
      <c r="CI1" s="962"/>
      <c r="CJ1" s="962"/>
      <c r="CK1" s="962"/>
      <c r="CL1" s="962"/>
      <c r="CM1" s="962"/>
      <c r="CN1" s="962"/>
      <c r="CO1" s="962"/>
      <c r="CP1" s="962"/>
      <c r="CQ1" s="962"/>
      <c r="CR1" s="962"/>
      <c r="CS1" s="962"/>
      <c r="CT1" s="962"/>
      <c r="CU1" s="962"/>
      <c r="CV1" s="962"/>
      <c r="CW1" s="962"/>
      <c r="CX1" s="962"/>
      <c r="CY1" s="962"/>
      <c r="CZ1" s="962"/>
      <c r="DA1" s="962"/>
    </row>
    <row r="2" spans="1:105" ht="15"/>
    <row r="3" spans="1:105" ht="11.25" customHeight="1">
      <c r="A3" s="963" t="s">
        <v>121</v>
      </c>
      <c r="B3" s="963"/>
      <c r="C3" s="963"/>
      <c r="D3" s="963"/>
      <c r="E3" s="963"/>
      <c r="F3" s="963"/>
      <c r="G3" s="963"/>
      <c r="H3" s="963"/>
      <c r="I3" s="964" t="s">
        <v>9</v>
      </c>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c r="BI3" s="964"/>
      <c r="BJ3" s="964"/>
      <c r="BK3" s="964"/>
      <c r="BL3" s="964"/>
      <c r="BM3" s="964"/>
      <c r="BN3" s="964"/>
      <c r="BO3" s="964"/>
      <c r="BP3" s="964"/>
      <c r="BQ3" s="964"/>
      <c r="BR3" s="964"/>
      <c r="BS3" s="964"/>
      <c r="BT3" s="964"/>
      <c r="BU3" s="964"/>
      <c r="BV3" s="964"/>
      <c r="BW3" s="964"/>
      <c r="BX3" s="964"/>
      <c r="BY3" s="964"/>
      <c r="BZ3" s="964"/>
      <c r="CA3" s="964"/>
      <c r="CB3" s="964"/>
      <c r="CC3" s="964"/>
      <c r="CD3" s="964"/>
      <c r="CE3" s="964"/>
      <c r="CF3" s="964"/>
      <c r="CG3" s="964"/>
      <c r="CH3" s="964"/>
      <c r="CI3" s="964"/>
      <c r="CJ3" s="964"/>
      <c r="CK3" s="964"/>
      <c r="CL3" s="964"/>
      <c r="CM3" s="965"/>
      <c r="CN3" s="971" t="s">
        <v>122</v>
      </c>
      <c r="CO3" s="964"/>
      <c r="CP3" s="964"/>
      <c r="CQ3" s="964"/>
      <c r="CR3" s="964"/>
      <c r="CS3" s="964"/>
      <c r="CT3" s="964"/>
      <c r="CU3" s="965"/>
      <c r="CV3" s="971" t="s">
        <v>123</v>
      </c>
      <c r="CW3" s="971" t="s">
        <v>186</v>
      </c>
      <c r="CX3" s="974" t="s">
        <v>13</v>
      </c>
      <c r="CY3" s="975"/>
      <c r="CZ3" s="975"/>
      <c r="DA3" s="976"/>
    </row>
    <row r="4" spans="1:105" ht="18" customHeight="1">
      <c r="A4" s="963"/>
      <c r="B4" s="963"/>
      <c r="C4" s="963"/>
      <c r="D4" s="963"/>
      <c r="E4" s="963"/>
      <c r="F4" s="963"/>
      <c r="G4" s="963"/>
      <c r="H4" s="963"/>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c r="AZ4" s="966"/>
      <c r="BA4" s="966"/>
      <c r="BB4" s="966"/>
      <c r="BC4" s="966"/>
      <c r="BD4" s="966"/>
      <c r="BE4" s="966"/>
      <c r="BF4" s="966"/>
      <c r="BG4" s="966"/>
      <c r="BH4" s="966"/>
      <c r="BI4" s="966"/>
      <c r="BJ4" s="966"/>
      <c r="BK4" s="966"/>
      <c r="BL4" s="966"/>
      <c r="BM4" s="966"/>
      <c r="BN4" s="966"/>
      <c r="BO4" s="966"/>
      <c r="BP4" s="966"/>
      <c r="BQ4" s="966"/>
      <c r="BR4" s="966"/>
      <c r="BS4" s="966"/>
      <c r="BT4" s="966"/>
      <c r="BU4" s="966"/>
      <c r="BV4" s="966"/>
      <c r="BW4" s="966"/>
      <c r="BX4" s="966"/>
      <c r="BY4" s="966"/>
      <c r="BZ4" s="966"/>
      <c r="CA4" s="966"/>
      <c r="CB4" s="966"/>
      <c r="CC4" s="966"/>
      <c r="CD4" s="966"/>
      <c r="CE4" s="966"/>
      <c r="CF4" s="966"/>
      <c r="CG4" s="966"/>
      <c r="CH4" s="966"/>
      <c r="CI4" s="966"/>
      <c r="CJ4" s="966"/>
      <c r="CK4" s="966"/>
      <c r="CL4" s="966"/>
      <c r="CM4" s="967"/>
      <c r="CN4" s="972"/>
      <c r="CO4" s="966"/>
      <c r="CP4" s="966"/>
      <c r="CQ4" s="966"/>
      <c r="CR4" s="966"/>
      <c r="CS4" s="966"/>
      <c r="CT4" s="966"/>
      <c r="CU4" s="967"/>
      <c r="CV4" s="972"/>
      <c r="CW4" s="972"/>
      <c r="CX4" s="566" t="s">
        <v>14</v>
      </c>
      <c r="CY4" s="424" t="s">
        <v>206</v>
      </c>
      <c r="CZ4" s="424" t="s">
        <v>617</v>
      </c>
      <c r="DA4" s="977" t="s">
        <v>15</v>
      </c>
    </row>
    <row r="5" spans="1:105" ht="39" customHeight="1">
      <c r="A5" s="963"/>
      <c r="B5" s="963"/>
      <c r="C5" s="963"/>
      <c r="D5" s="963"/>
      <c r="E5" s="963"/>
      <c r="F5" s="963"/>
      <c r="G5" s="963"/>
      <c r="H5" s="963"/>
      <c r="I5" s="968"/>
      <c r="J5" s="968"/>
      <c r="K5" s="968"/>
      <c r="L5" s="968"/>
      <c r="M5" s="968"/>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c r="AM5" s="969"/>
      <c r="AN5" s="969"/>
      <c r="AO5" s="969"/>
      <c r="AP5" s="969"/>
      <c r="AQ5" s="969"/>
      <c r="AR5" s="969"/>
      <c r="AS5" s="969"/>
      <c r="AT5" s="969"/>
      <c r="AU5" s="969"/>
      <c r="AV5" s="969"/>
      <c r="AW5" s="969"/>
      <c r="AX5" s="969"/>
      <c r="AY5" s="969"/>
      <c r="AZ5" s="969"/>
      <c r="BA5" s="969"/>
      <c r="BB5" s="969"/>
      <c r="BC5" s="969"/>
      <c r="BD5" s="969"/>
      <c r="BE5" s="969"/>
      <c r="BF5" s="969"/>
      <c r="BG5" s="969"/>
      <c r="BH5" s="969"/>
      <c r="BI5" s="969"/>
      <c r="BJ5" s="969"/>
      <c r="BK5" s="969"/>
      <c r="BL5" s="969"/>
      <c r="BM5" s="969"/>
      <c r="BN5" s="969"/>
      <c r="BO5" s="969"/>
      <c r="BP5" s="969"/>
      <c r="BQ5" s="969"/>
      <c r="BR5" s="969"/>
      <c r="BS5" s="969"/>
      <c r="BT5" s="969"/>
      <c r="BU5" s="969"/>
      <c r="BV5" s="969"/>
      <c r="BW5" s="969"/>
      <c r="BX5" s="969"/>
      <c r="BY5" s="969"/>
      <c r="BZ5" s="969"/>
      <c r="CA5" s="969"/>
      <c r="CB5" s="969"/>
      <c r="CC5" s="969"/>
      <c r="CD5" s="969"/>
      <c r="CE5" s="969"/>
      <c r="CF5" s="969"/>
      <c r="CG5" s="969"/>
      <c r="CH5" s="969"/>
      <c r="CI5" s="969"/>
      <c r="CJ5" s="969"/>
      <c r="CK5" s="969"/>
      <c r="CL5" s="969"/>
      <c r="CM5" s="970"/>
      <c r="CN5" s="973"/>
      <c r="CO5" s="969"/>
      <c r="CP5" s="969"/>
      <c r="CQ5" s="969"/>
      <c r="CR5" s="969"/>
      <c r="CS5" s="969"/>
      <c r="CT5" s="969"/>
      <c r="CU5" s="970"/>
      <c r="CV5" s="973"/>
      <c r="CW5" s="973"/>
      <c r="CX5" s="567" t="s">
        <v>124</v>
      </c>
      <c r="CY5" s="425" t="s">
        <v>125</v>
      </c>
      <c r="CZ5" s="425" t="s">
        <v>126</v>
      </c>
      <c r="DA5" s="978"/>
    </row>
    <row r="6" spans="1:105" ht="10.9" customHeight="1">
      <c r="A6" s="979" t="s">
        <v>16</v>
      </c>
      <c r="B6" s="979"/>
      <c r="C6" s="979"/>
      <c r="D6" s="979"/>
      <c r="E6" s="979"/>
      <c r="F6" s="979"/>
      <c r="G6" s="979"/>
      <c r="H6" s="979"/>
      <c r="I6" s="980" t="s">
        <v>17</v>
      </c>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980"/>
      <c r="AV6" s="980"/>
      <c r="AW6" s="980"/>
      <c r="AX6" s="980"/>
      <c r="AY6" s="980"/>
      <c r="AZ6" s="980"/>
      <c r="BA6" s="980"/>
      <c r="BB6" s="980"/>
      <c r="BC6" s="980"/>
      <c r="BD6" s="980"/>
      <c r="BE6" s="980"/>
      <c r="BF6" s="980"/>
      <c r="BG6" s="980"/>
      <c r="BH6" s="980"/>
      <c r="BI6" s="980"/>
      <c r="BJ6" s="980"/>
      <c r="BK6" s="980"/>
      <c r="BL6" s="980"/>
      <c r="BM6" s="980"/>
      <c r="BN6" s="980"/>
      <c r="BO6" s="980"/>
      <c r="BP6" s="980"/>
      <c r="BQ6" s="980"/>
      <c r="BR6" s="980"/>
      <c r="BS6" s="980"/>
      <c r="BT6" s="980"/>
      <c r="BU6" s="980"/>
      <c r="BV6" s="980"/>
      <c r="BW6" s="980"/>
      <c r="BX6" s="980"/>
      <c r="BY6" s="980"/>
      <c r="BZ6" s="980"/>
      <c r="CA6" s="980"/>
      <c r="CB6" s="980"/>
      <c r="CC6" s="980"/>
      <c r="CD6" s="980"/>
      <c r="CE6" s="980"/>
      <c r="CF6" s="980"/>
      <c r="CG6" s="980"/>
      <c r="CH6" s="980"/>
      <c r="CI6" s="980"/>
      <c r="CJ6" s="980"/>
      <c r="CK6" s="980"/>
      <c r="CL6" s="980"/>
      <c r="CM6" s="981"/>
      <c r="CN6" s="982" t="s">
        <v>18</v>
      </c>
      <c r="CO6" s="983"/>
      <c r="CP6" s="983"/>
      <c r="CQ6" s="983"/>
      <c r="CR6" s="983"/>
      <c r="CS6" s="983"/>
      <c r="CT6" s="983"/>
      <c r="CU6" s="984"/>
      <c r="CV6" s="371" t="s">
        <v>19</v>
      </c>
      <c r="CW6" s="371" t="s">
        <v>187</v>
      </c>
      <c r="CX6" s="568" t="s">
        <v>20</v>
      </c>
      <c r="CY6" s="371" t="s">
        <v>21</v>
      </c>
      <c r="CZ6" s="371" t="s">
        <v>22</v>
      </c>
      <c r="DA6" s="50" t="s">
        <v>23</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985">
        <v>1</v>
      </c>
      <c r="B8" s="986"/>
      <c r="C8" s="986"/>
      <c r="D8" s="986"/>
      <c r="E8" s="986"/>
      <c r="F8" s="986"/>
      <c r="G8" s="986"/>
      <c r="H8" s="987"/>
      <c r="I8" s="988" t="s">
        <v>127</v>
      </c>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89"/>
      <c r="AP8" s="989"/>
      <c r="AQ8" s="989"/>
      <c r="AR8" s="989"/>
      <c r="AS8" s="989"/>
      <c r="AT8" s="989"/>
      <c r="AU8" s="989"/>
      <c r="AV8" s="989"/>
      <c r="AW8" s="989"/>
      <c r="AX8" s="989"/>
      <c r="AY8" s="989"/>
      <c r="AZ8" s="989"/>
      <c r="BA8" s="989"/>
      <c r="BB8" s="989"/>
      <c r="BC8" s="989"/>
      <c r="BD8" s="989"/>
      <c r="BE8" s="989"/>
      <c r="BF8" s="989"/>
      <c r="BG8" s="989"/>
      <c r="BH8" s="989"/>
      <c r="BI8" s="989"/>
      <c r="BJ8" s="989"/>
      <c r="BK8" s="989"/>
      <c r="BL8" s="989"/>
      <c r="BM8" s="989"/>
      <c r="BN8" s="989"/>
      <c r="BO8" s="989"/>
      <c r="BP8" s="989"/>
      <c r="BQ8" s="989"/>
      <c r="BR8" s="989"/>
      <c r="BS8" s="989"/>
      <c r="BT8" s="989"/>
      <c r="BU8" s="989"/>
      <c r="BV8" s="989"/>
      <c r="BW8" s="989"/>
      <c r="BX8" s="989"/>
      <c r="BY8" s="989"/>
      <c r="BZ8" s="989"/>
      <c r="CA8" s="989"/>
      <c r="CB8" s="989"/>
      <c r="CC8" s="989"/>
      <c r="CD8" s="989"/>
      <c r="CE8" s="989"/>
      <c r="CF8" s="989"/>
      <c r="CG8" s="989"/>
      <c r="CH8" s="989"/>
      <c r="CI8" s="989"/>
      <c r="CJ8" s="989"/>
      <c r="CK8" s="989"/>
      <c r="CL8" s="989"/>
      <c r="CM8" s="989"/>
      <c r="CN8" s="990" t="s">
        <v>128</v>
      </c>
      <c r="CO8" s="991"/>
      <c r="CP8" s="991"/>
      <c r="CQ8" s="991"/>
      <c r="CR8" s="991"/>
      <c r="CS8" s="991"/>
      <c r="CT8" s="991"/>
      <c r="CU8" s="992"/>
      <c r="CV8" s="426" t="s">
        <v>26</v>
      </c>
      <c r="CW8" s="426" t="s">
        <v>26</v>
      </c>
      <c r="CX8" s="570">
        <f>SUM(CX9:CX11,CX15)</f>
        <v>24693447.789999999</v>
      </c>
      <c r="CY8" s="427">
        <f>SUM(CY9:CY11,CY15)</f>
        <v>22908114.390000001</v>
      </c>
      <c r="CZ8" s="427">
        <f>SUM(CZ9:CZ11,CZ15)</f>
        <v>15133385.050000001</v>
      </c>
      <c r="DA8" s="452">
        <f>SUM(DA9:DA11,DA15)</f>
        <v>0</v>
      </c>
    </row>
    <row r="9" spans="1:105" customFormat="1" ht="186" customHeight="1">
      <c r="A9" s="946" t="s">
        <v>129</v>
      </c>
      <c r="B9" s="947"/>
      <c r="C9" s="947"/>
      <c r="D9" s="947"/>
      <c r="E9" s="947"/>
      <c r="F9" s="947"/>
      <c r="G9" s="947"/>
      <c r="H9" s="948"/>
      <c r="I9" s="993" t="s">
        <v>618</v>
      </c>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8"/>
      <c r="AY9" s="958"/>
      <c r="AZ9" s="958"/>
      <c r="BA9" s="958"/>
      <c r="BB9" s="958"/>
      <c r="BC9" s="958"/>
      <c r="BD9" s="958"/>
      <c r="BE9" s="958"/>
      <c r="BF9" s="958"/>
      <c r="BG9" s="958"/>
      <c r="BH9" s="958"/>
      <c r="BI9" s="958"/>
      <c r="BJ9" s="958"/>
      <c r="BK9" s="958"/>
      <c r="BL9" s="958"/>
      <c r="BM9" s="958"/>
      <c r="BN9" s="958"/>
      <c r="BO9" s="958"/>
      <c r="BP9" s="958"/>
      <c r="BQ9" s="958"/>
      <c r="BR9" s="958"/>
      <c r="BS9" s="958"/>
      <c r="BT9" s="958"/>
      <c r="BU9" s="958"/>
      <c r="BV9" s="958"/>
      <c r="BW9" s="958"/>
      <c r="BX9" s="958"/>
      <c r="BY9" s="958"/>
      <c r="BZ9" s="958"/>
      <c r="CA9" s="958"/>
      <c r="CB9" s="958"/>
      <c r="CC9" s="958"/>
      <c r="CD9" s="958"/>
      <c r="CE9" s="958"/>
      <c r="CF9" s="958"/>
      <c r="CG9" s="958"/>
      <c r="CH9" s="958"/>
      <c r="CI9" s="958"/>
      <c r="CJ9" s="958"/>
      <c r="CK9" s="958"/>
      <c r="CL9" s="958"/>
      <c r="CM9" s="958"/>
      <c r="CN9" s="959" t="s">
        <v>130</v>
      </c>
      <c r="CO9" s="960"/>
      <c r="CP9" s="960"/>
      <c r="CQ9" s="960"/>
      <c r="CR9" s="960"/>
      <c r="CS9" s="960"/>
      <c r="CT9" s="960"/>
      <c r="CU9" s="961"/>
      <c r="CV9" s="428" t="s">
        <v>26</v>
      </c>
      <c r="CW9" s="428" t="s">
        <v>26</v>
      </c>
      <c r="CX9" s="571">
        <v>0</v>
      </c>
      <c r="CY9" s="429">
        <v>0</v>
      </c>
      <c r="CZ9" s="429">
        <v>0</v>
      </c>
      <c r="DA9" s="453">
        <v>0</v>
      </c>
    </row>
    <row r="10" spans="1:105" customFormat="1" ht="90" customHeight="1">
      <c r="A10" s="946" t="s">
        <v>131</v>
      </c>
      <c r="B10" s="947"/>
      <c r="C10" s="947"/>
      <c r="D10" s="947"/>
      <c r="E10" s="947"/>
      <c r="F10" s="947"/>
      <c r="G10" s="947"/>
      <c r="H10" s="948"/>
      <c r="I10" s="957" t="s">
        <v>522</v>
      </c>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958"/>
      <c r="BC10" s="958"/>
      <c r="BD10" s="958"/>
      <c r="BE10" s="958"/>
      <c r="BF10" s="958"/>
      <c r="BG10" s="958"/>
      <c r="BH10" s="958"/>
      <c r="BI10" s="958"/>
      <c r="BJ10" s="958"/>
      <c r="BK10" s="958"/>
      <c r="BL10" s="958"/>
      <c r="BM10" s="958"/>
      <c r="BN10" s="958"/>
      <c r="BO10" s="958"/>
      <c r="BP10" s="958"/>
      <c r="BQ10" s="958"/>
      <c r="BR10" s="958"/>
      <c r="BS10" s="958"/>
      <c r="BT10" s="958"/>
      <c r="BU10" s="958"/>
      <c r="BV10" s="958"/>
      <c r="BW10" s="958"/>
      <c r="BX10" s="958"/>
      <c r="BY10" s="958"/>
      <c r="BZ10" s="958"/>
      <c r="CA10" s="958"/>
      <c r="CB10" s="958"/>
      <c r="CC10" s="958"/>
      <c r="CD10" s="958"/>
      <c r="CE10" s="958"/>
      <c r="CF10" s="958"/>
      <c r="CG10" s="958"/>
      <c r="CH10" s="958"/>
      <c r="CI10" s="958"/>
      <c r="CJ10" s="958"/>
      <c r="CK10" s="958"/>
      <c r="CL10" s="958"/>
      <c r="CM10" s="958"/>
      <c r="CN10" s="959" t="s">
        <v>132</v>
      </c>
      <c r="CO10" s="960"/>
      <c r="CP10" s="960"/>
      <c r="CQ10" s="960"/>
      <c r="CR10" s="960"/>
      <c r="CS10" s="960"/>
      <c r="CT10" s="960"/>
      <c r="CU10" s="961"/>
      <c r="CV10" s="428" t="s">
        <v>26</v>
      </c>
      <c r="CW10" s="428" t="s">
        <v>26</v>
      </c>
      <c r="CX10" s="571">
        <v>0</v>
      </c>
      <c r="CY10" s="429">
        <v>0</v>
      </c>
      <c r="CZ10" s="429">
        <v>0</v>
      </c>
      <c r="DA10" s="453">
        <v>0</v>
      </c>
    </row>
    <row r="11" spans="1:105" customFormat="1" ht="86.25" customHeight="1">
      <c r="A11" s="946" t="s">
        <v>133</v>
      </c>
      <c r="B11" s="947"/>
      <c r="C11" s="947"/>
      <c r="D11" s="947"/>
      <c r="E11" s="947"/>
      <c r="F11" s="947"/>
      <c r="G11" s="947"/>
      <c r="H11" s="948"/>
      <c r="I11" s="957" t="s">
        <v>523</v>
      </c>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8"/>
      <c r="AM11" s="958"/>
      <c r="AN11" s="958"/>
      <c r="AO11" s="958"/>
      <c r="AP11" s="958"/>
      <c r="AQ11" s="958"/>
      <c r="AR11" s="958"/>
      <c r="AS11" s="958"/>
      <c r="AT11" s="958"/>
      <c r="AU11" s="958"/>
      <c r="AV11" s="958"/>
      <c r="AW11" s="958"/>
      <c r="AX11" s="958"/>
      <c r="AY11" s="958"/>
      <c r="AZ11" s="958"/>
      <c r="BA11" s="958"/>
      <c r="BB11" s="958"/>
      <c r="BC11" s="958"/>
      <c r="BD11" s="958"/>
      <c r="BE11" s="958"/>
      <c r="BF11" s="958"/>
      <c r="BG11" s="958"/>
      <c r="BH11" s="958"/>
      <c r="BI11" s="958"/>
      <c r="BJ11" s="958"/>
      <c r="BK11" s="958"/>
      <c r="BL11" s="958"/>
      <c r="BM11" s="958"/>
      <c r="BN11" s="958"/>
      <c r="BO11" s="958"/>
      <c r="BP11" s="958"/>
      <c r="BQ11" s="958"/>
      <c r="BR11" s="958"/>
      <c r="BS11" s="958"/>
      <c r="BT11" s="958"/>
      <c r="BU11" s="958"/>
      <c r="BV11" s="958"/>
      <c r="BW11" s="958"/>
      <c r="BX11" s="958"/>
      <c r="BY11" s="958"/>
      <c r="BZ11" s="958"/>
      <c r="CA11" s="958"/>
      <c r="CB11" s="958"/>
      <c r="CC11" s="958"/>
      <c r="CD11" s="958"/>
      <c r="CE11" s="958"/>
      <c r="CF11" s="958"/>
      <c r="CG11" s="958"/>
      <c r="CH11" s="958"/>
      <c r="CI11" s="958"/>
      <c r="CJ11" s="958"/>
      <c r="CK11" s="958"/>
      <c r="CL11" s="958"/>
      <c r="CM11" s="958"/>
      <c r="CN11" s="959" t="s">
        <v>134</v>
      </c>
      <c r="CO11" s="960"/>
      <c r="CP11" s="960"/>
      <c r="CQ11" s="960"/>
      <c r="CR11" s="960"/>
      <c r="CS11" s="960"/>
      <c r="CT11" s="960"/>
      <c r="CU11" s="961"/>
      <c r="CV11" s="428" t="s">
        <v>26</v>
      </c>
      <c r="CW11" s="428" t="s">
        <v>26</v>
      </c>
      <c r="CX11" s="571">
        <f>SUM(CX12:CX14)</f>
        <v>0</v>
      </c>
      <c r="CY11" s="429">
        <f>SUM(CY12:CY14)</f>
        <v>0</v>
      </c>
      <c r="CZ11" s="429">
        <f>SUM(CZ12:CZ14)</f>
        <v>0</v>
      </c>
      <c r="DA11" s="453">
        <f>SUM(DA12:DA14)</f>
        <v>0</v>
      </c>
    </row>
    <row r="12" spans="1:105" s="121" customFormat="1" ht="43.5" customHeight="1">
      <c r="A12" s="938" t="s">
        <v>188</v>
      </c>
      <c r="B12" s="939"/>
      <c r="C12" s="939"/>
      <c r="D12" s="939"/>
      <c r="E12" s="939"/>
      <c r="F12" s="939"/>
      <c r="G12" s="939"/>
      <c r="H12" s="940"/>
      <c r="I12" s="941" t="s">
        <v>518</v>
      </c>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2"/>
      <c r="AJ12" s="942"/>
      <c r="AK12" s="942"/>
      <c r="AL12" s="942"/>
      <c r="AM12" s="942"/>
      <c r="AN12" s="942"/>
      <c r="AO12" s="942"/>
      <c r="AP12" s="942"/>
      <c r="AQ12" s="942"/>
      <c r="AR12" s="942"/>
      <c r="AS12" s="942"/>
      <c r="AT12" s="942"/>
      <c r="AU12" s="942"/>
      <c r="AV12" s="942"/>
      <c r="AW12" s="942"/>
      <c r="AX12" s="942"/>
      <c r="AY12" s="942"/>
      <c r="AZ12" s="942"/>
      <c r="BA12" s="942"/>
      <c r="BB12" s="942"/>
      <c r="BC12" s="942"/>
      <c r="BD12" s="942"/>
      <c r="BE12" s="942"/>
      <c r="BF12" s="942"/>
      <c r="BG12" s="942"/>
      <c r="BH12" s="942"/>
      <c r="BI12" s="942"/>
      <c r="BJ12" s="942"/>
      <c r="BK12" s="942"/>
      <c r="BL12" s="942"/>
      <c r="BM12" s="942"/>
      <c r="BN12" s="942"/>
      <c r="BO12" s="942"/>
      <c r="BP12" s="942"/>
      <c r="BQ12" s="942"/>
      <c r="BR12" s="942"/>
      <c r="BS12" s="942"/>
      <c r="BT12" s="942"/>
      <c r="BU12" s="942"/>
      <c r="BV12" s="942"/>
      <c r="BW12" s="942"/>
      <c r="BX12" s="942"/>
      <c r="BY12" s="942"/>
      <c r="BZ12" s="942"/>
      <c r="CA12" s="942"/>
      <c r="CB12" s="942"/>
      <c r="CC12" s="942"/>
      <c r="CD12" s="942"/>
      <c r="CE12" s="942"/>
      <c r="CF12" s="942"/>
      <c r="CG12" s="942"/>
      <c r="CH12" s="942"/>
      <c r="CI12" s="942"/>
      <c r="CJ12" s="942"/>
      <c r="CK12" s="942"/>
      <c r="CL12" s="942"/>
      <c r="CM12" s="942"/>
      <c r="CN12" s="943" t="s">
        <v>189</v>
      </c>
      <c r="CO12" s="944"/>
      <c r="CP12" s="944"/>
      <c r="CQ12" s="944"/>
      <c r="CR12" s="944"/>
      <c r="CS12" s="944"/>
      <c r="CT12" s="944"/>
      <c r="CU12" s="945"/>
      <c r="CV12" s="430" t="s">
        <v>26</v>
      </c>
      <c r="CW12" s="430" t="s">
        <v>26</v>
      </c>
      <c r="CX12" s="572">
        <v>0</v>
      </c>
      <c r="CY12" s="431">
        <v>0</v>
      </c>
      <c r="CZ12" s="431">
        <v>0</v>
      </c>
      <c r="DA12" s="454">
        <v>0</v>
      </c>
    </row>
    <row r="13" spans="1:105" s="121" customFormat="1" ht="36" customHeight="1">
      <c r="A13" s="938"/>
      <c r="B13" s="939"/>
      <c r="C13" s="939"/>
      <c r="D13" s="939"/>
      <c r="E13" s="939"/>
      <c r="F13" s="939"/>
      <c r="G13" s="939"/>
      <c r="H13" s="940"/>
      <c r="I13" s="941" t="s">
        <v>59</v>
      </c>
      <c r="J13" s="942"/>
      <c r="K13" s="942"/>
      <c r="L13" s="942"/>
      <c r="M13" s="942"/>
      <c r="N13" s="942"/>
      <c r="O13" s="942"/>
      <c r="P13" s="942"/>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c r="AN13" s="942"/>
      <c r="AO13" s="942"/>
      <c r="AP13" s="942"/>
      <c r="AQ13" s="942"/>
      <c r="AR13" s="942"/>
      <c r="AS13" s="942"/>
      <c r="AT13" s="942"/>
      <c r="AU13" s="942"/>
      <c r="AV13" s="942"/>
      <c r="AW13" s="942"/>
      <c r="AX13" s="942"/>
      <c r="AY13" s="942"/>
      <c r="AZ13" s="942"/>
      <c r="BA13" s="942"/>
      <c r="BB13" s="942"/>
      <c r="BC13" s="942"/>
      <c r="BD13" s="942"/>
      <c r="BE13" s="942"/>
      <c r="BF13" s="942"/>
      <c r="BG13" s="942"/>
      <c r="BH13" s="942"/>
      <c r="BI13" s="942"/>
      <c r="BJ13" s="942"/>
      <c r="BK13" s="942"/>
      <c r="BL13" s="942"/>
      <c r="BM13" s="942"/>
      <c r="BN13" s="942"/>
      <c r="BO13" s="942"/>
      <c r="BP13" s="942"/>
      <c r="BQ13" s="942"/>
      <c r="BR13" s="942"/>
      <c r="BS13" s="942"/>
      <c r="BT13" s="942"/>
      <c r="BU13" s="942"/>
      <c r="BV13" s="942"/>
      <c r="BW13" s="942"/>
      <c r="BX13" s="942"/>
      <c r="BY13" s="942"/>
      <c r="BZ13" s="942"/>
      <c r="CA13" s="942"/>
      <c r="CB13" s="942"/>
      <c r="CC13" s="942"/>
      <c r="CD13" s="942"/>
      <c r="CE13" s="942"/>
      <c r="CF13" s="942"/>
      <c r="CG13" s="942"/>
      <c r="CH13" s="942"/>
      <c r="CI13" s="942"/>
      <c r="CJ13" s="942"/>
      <c r="CK13" s="942"/>
      <c r="CL13" s="942"/>
      <c r="CM13" s="942"/>
      <c r="CN13" s="943" t="s">
        <v>190</v>
      </c>
      <c r="CO13" s="944"/>
      <c r="CP13" s="944"/>
      <c r="CQ13" s="944"/>
      <c r="CR13" s="944"/>
      <c r="CS13" s="944"/>
      <c r="CT13" s="944"/>
      <c r="CU13" s="945"/>
      <c r="CV13" s="430"/>
      <c r="CW13" s="430"/>
      <c r="CX13" s="572">
        <v>0</v>
      </c>
      <c r="CY13" s="431">
        <v>0</v>
      </c>
      <c r="CZ13" s="431">
        <v>0</v>
      </c>
      <c r="DA13" s="454">
        <v>0</v>
      </c>
    </row>
    <row r="14" spans="1:105" s="121" customFormat="1" ht="43.5" customHeight="1">
      <c r="A14" s="938" t="s">
        <v>191</v>
      </c>
      <c r="B14" s="939"/>
      <c r="C14" s="939"/>
      <c r="D14" s="939"/>
      <c r="E14" s="939"/>
      <c r="F14" s="939"/>
      <c r="G14" s="939"/>
      <c r="H14" s="940"/>
      <c r="I14" s="941" t="s">
        <v>182</v>
      </c>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2"/>
      <c r="AY14" s="942"/>
      <c r="AZ14" s="942"/>
      <c r="BA14" s="942"/>
      <c r="BB14" s="942"/>
      <c r="BC14" s="942"/>
      <c r="BD14" s="942"/>
      <c r="BE14" s="942"/>
      <c r="BF14" s="942"/>
      <c r="BG14" s="942"/>
      <c r="BH14" s="942"/>
      <c r="BI14" s="942"/>
      <c r="BJ14" s="942"/>
      <c r="BK14" s="942"/>
      <c r="BL14" s="942"/>
      <c r="BM14" s="942"/>
      <c r="BN14" s="942"/>
      <c r="BO14" s="942"/>
      <c r="BP14" s="942"/>
      <c r="BQ14" s="942"/>
      <c r="BR14" s="942"/>
      <c r="BS14" s="942"/>
      <c r="BT14" s="942"/>
      <c r="BU14" s="942"/>
      <c r="BV14" s="942"/>
      <c r="BW14" s="942"/>
      <c r="BX14" s="942"/>
      <c r="BY14" s="942"/>
      <c r="BZ14" s="942"/>
      <c r="CA14" s="942"/>
      <c r="CB14" s="942"/>
      <c r="CC14" s="942"/>
      <c r="CD14" s="942"/>
      <c r="CE14" s="942"/>
      <c r="CF14" s="942"/>
      <c r="CG14" s="942"/>
      <c r="CH14" s="942"/>
      <c r="CI14" s="942"/>
      <c r="CJ14" s="942"/>
      <c r="CK14" s="942"/>
      <c r="CL14" s="942"/>
      <c r="CM14" s="942"/>
      <c r="CN14" s="943" t="s">
        <v>192</v>
      </c>
      <c r="CO14" s="944"/>
      <c r="CP14" s="944"/>
      <c r="CQ14" s="944"/>
      <c r="CR14" s="944"/>
      <c r="CS14" s="944"/>
      <c r="CT14" s="944"/>
      <c r="CU14" s="945"/>
      <c r="CV14" s="430" t="s">
        <v>26</v>
      </c>
      <c r="CW14" s="430" t="s">
        <v>26</v>
      </c>
      <c r="CX14" s="572">
        <v>0</v>
      </c>
      <c r="CY14" s="431">
        <v>0</v>
      </c>
      <c r="CZ14" s="431">
        <v>0</v>
      </c>
      <c r="DA14" s="454">
        <v>0</v>
      </c>
    </row>
    <row r="15" spans="1:105" customFormat="1" ht="84" customHeight="1">
      <c r="A15" s="946" t="s">
        <v>135</v>
      </c>
      <c r="B15" s="947"/>
      <c r="C15" s="947"/>
      <c r="D15" s="947"/>
      <c r="E15" s="947"/>
      <c r="F15" s="947"/>
      <c r="G15" s="947"/>
      <c r="H15" s="948"/>
      <c r="I15" s="957" t="s">
        <v>517</v>
      </c>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8"/>
      <c r="AM15" s="958"/>
      <c r="AN15" s="958"/>
      <c r="AO15" s="958"/>
      <c r="AP15" s="958"/>
      <c r="AQ15" s="958"/>
      <c r="AR15" s="958"/>
      <c r="AS15" s="958"/>
      <c r="AT15" s="958"/>
      <c r="AU15" s="958"/>
      <c r="AV15" s="958"/>
      <c r="AW15" s="958"/>
      <c r="AX15" s="958"/>
      <c r="AY15" s="958"/>
      <c r="AZ15" s="958"/>
      <c r="BA15" s="958"/>
      <c r="BB15" s="958"/>
      <c r="BC15" s="958"/>
      <c r="BD15" s="958"/>
      <c r="BE15" s="958"/>
      <c r="BF15" s="958"/>
      <c r="BG15" s="958"/>
      <c r="BH15" s="958"/>
      <c r="BI15" s="958"/>
      <c r="BJ15" s="958"/>
      <c r="BK15" s="958"/>
      <c r="BL15" s="958"/>
      <c r="BM15" s="958"/>
      <c r="BN15" s="958"/>
      <c r="BO15" s="958"/>
      <c r="BP15" s="958"/>
      <c r="BQ15" s="958"/>
      <c r="BR15" s="958"/>
      <c r="BS15" s="958"/>
      <c r="BT15" s="958"/>
      <c r="BU15" s="958"/>
      <c r="BV15" s="958"/>
      <c r="BW15" s="958"/>
      <c r="BX15" s="958"/>
      <c r="BY15" s="958"/>
      <c r="BZ15" s="958"/>
      <c r="CA15" s="958"/>
      <c r="CB15" s="958"/>
      <c r="CC15" s="958"/>
      <c r="CD15" s="958"/>
      <c r="CE15" s="958"/>
      <c r="CF15" s="958"/>
      <c r="CG15" s="958"/>
      <c r="CH15" s="958"/>
      <c r="CI15" s="958"/>
      <c r="CJ15" s="958"/>
      <c r="CK15" s="958"/>
      <c r="CL15" s="958"/>
      <c r="CM15" s="958"/>
      <c r="CN15" s="959" t="s">
        <v>136</v>
      </c>
      <c r="CO15" s="960"/>
      <c r="CP15" s="960"/>
      <c r="CQ15" s="960"/>
      <c r="CR15" s="960"/>
      <c r="CS15" s="960"/>
      <c r="CT15" s="960"/>
      <c r="CU15" s="961"/>
      <c r="CV15" s="428" t="s">
        <v>26</v>
      </c>
      <c r="CW15" s="428" t="s">
        <v>26</v>
      </c>
      <c r="CX15" s="571">
        <f>CX16+CX19+CX23+CX25+CX28</f>
        <v>24693447.789999999</v>
      </c>
      <c r="CY15" s="429">
        <f>CY16+CY19+CY23+CY25+CY28</f>
        <v>22908114.390000001</v>
      </c>
      <c r="CZ15" s="429">
        <f>CZ16+CZ19+CZ23+CZ25+CZ28</f>
        <v>15133385.050000001</v>
      </c>
      <c r="DA15" s="453">
        <f>DA16+DA19+DA23+DA25+DA28</f>
        <v>0</v>
      </c>
    </row>
    <row r="16" spans="1:105" customFormat="1" ht="70.5" customHeight="1">
      <c r="A16" s="946" t="s">
        <v>137</v>
      </c>
      <c r="B16" s="947"/>
      <c r="C16" s="947"/>
      <c r="D16" s="947"/>
      <c r="E16" s="947"/>
      <c r="F16" s="947"/>
      <c r="G16" s="947"/>
      <c r="H16" s="948"/>
      <c r="I16" s="949" t="s">
        <v>519</v>
      </c>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0"/>
      <c r="AJ16" s="950"/>
      <c r="AK16" s="950"/>
      <c r="AL16" s="950"/>
      <c r="AM16" s="950"/>
      <c r="AN16" s="950"/>
      <c r="AO16" s="950"/>
      <c r="AP16" s="950"/>
      <c r="AQ16" s="950"/>
      <c r="AR16" s="950"/>
      <c r="AS16" s="950"/>
      <c r="AT16" s="950"/>
      <c r="AU16" s="950"/>
      <c r="AV16" s="950"/>
      <c r="AW16" s="950"/>
      <c r="AX16" s="950"/>
      <c r="AY16" s="950"/>
      <c r="AZ16" s="950"/>
      <c r="BA16" s="950"/>
      <c r="BB16" s="950"/>
      <c r="BC16" s="950"/>
      <c r="BD16" s="950"/>
      <c r="BE16" s="950"/>
      <c r="BF16" s="950"/>
      <c r="BG16" s="950"/>
      <c r="BH16" s="950"/>
      <c r="BI16" s="950"/>
      <c r="BJ16" s="950"/>
      <c r="BK16" s="950"/>
      <c r="BL16" s="950"/>
      <c r="BM16" s="950"/>
      <c r="BN16" s="950"/>
      <c r="BO16" s="950"/>
      <c r="BP16" s="950"/>
      <c r="BQ16" s="950"/>
      <c r="BR16" s="950"/>
      <c r="BS16" s="950"/>
      <c r="BT16" s="950"/>
      <c r="BU16" s="950"/>
      <c r="BV16" s="950"/>
      <c r="BW16" s="950"/>
      <c r="BX16" s="950"/>
      <c r="BY16" s="950"/>
      <c r="BZ16" s="950"/>
      <c r="CA16" s="950"/>
      <c r="CB16" s="950"/>
      <c r="CC16" s="950"/>
      <c r="CD16" s="950"/>
      <c r="CE16" s="950"/>
      <c r="CF16" s="950"/>
      <c r="CG16" s="950"/>
      <c r="CH16" s="950"/>
      <c r="CI16" s="950"/>
      <c r="CJ16" s="950"/>
      <c r="CK16" s="950"/>
      <c r="CL16" s="950"/>
      <c r="CM16" s="950"/>
      <c r="CN16" s="959" t="s">
        <v>138</v>
      </c>
      <c r="CO16" s="960"/>
      <c r="CP16" s="960"/>
      <c r="CQ16" s="960"/>
      <c r="CR16" s="960"/>
      <c r="CS16" s="960"/>
      <c r="CT16" s="960"/>
      <c r="CU16" s="961"/>
      <c r="CV16" s="428" t="s">
        <v>26</v>
      </c>
      <c r="CW16" s="428" t="s">
        <v>26</v>
      </c>
      <c r="CX16" s="571">
        <f>SUM(CX17:CX18)</f>
        <v>19720681.09</v>
      </c>
      <c r="CY16" s="429">
        <f>SUM(CY17:CY18)</f>
        <v>17848480.960000001</v>
      </c>
      <c r="CZ16" s="429">
        <f>SUM(CZ17:CZ18)</f>
        <v>10068224.199999999</v>
      </c>
      <c r="DA16" s="453">
        <f>SUM(DA17:DA18)</f>
        <v>0</v>
      </c>
    </row>
    <row r="17" spans="1:106" customFormat="1" ht="35.25" customHeight="1">
      <c r="A17" s="938" t="s">
        <v>139</v>
      </c>
      <c r="B17" s="939"/>
      <c r="C17" s="939"/>
      <c r="D17" s="939"/>
      <c r="E17" s="939"/>
      <c r="F17" s="939"/>
      <c r="G17" s="939"/>
      <c r="H17" s="940"/>
      <c r="I17" s="941" t="s">
        <v>520</v>
      </c>
      <c r="J17" s="942"/>
      <c r="K17" s="942"/>
      <c r="L17" s="942"/>
      <c r="M17" s="942"/>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2"/>
      <c r="AX17" s="942"/>
      <c r="AY17" s="942"/>
      <c r="AZ17" s="942"/>
      <c r="BA17" s="942"/>
      <c r="BB17" s="942"/>
      <c r="BC17" s="942"/>
      <c r="BD17" s="942"/>
      <c r="BE17" s="942"/>
      <c r="BF17" s="942"/>
      <c r="BG17" s="942"/>
      <c r="BH17" s="942"/>
      <c r="BI17" s="942"/>
      <c r="BJ17" s="942"/>
      <c r="BK17" s="942"/>
      <c r="BL17" s="942"/>
      <c r="BM17" s="942"/>
      <c r="BN17" s="942"/>
      <c r="BO17" s="942"/>
      <c r="BP17" s="942"/>
      <c r="BQ17" s="942"/>
      <c r="BR17" s="942"/>
      <c r="BS17" s="942"/>
      <c r="BT17" s="942"/>
      <c r="BU17" s="942"/>
      <c r="BV17" s="942"/>
      <c r="BW17" s="942"/>
      <c r="BX17" s="942"/>
      <c r="BY17" s="942"/>
      <c r="BZ17" s="942"/>
      <c r="CA17" s="942"/>
      <c r="CB17" s="942"/>
      <c r="CC17" s="942"/>
      <c r="CD17" s="942"/>
      <c r="CE17" s="942"/>
      <c r="CF17" s="942"/>
      <c r="CG17" s="942"/>
      <c r="CH17" s="942"/>
      <c r="CI17" s="942"/>
      <c r="CJ17" s="942"/>
      <c r="CK17" s="942"/>
      <c r="CL17" s="942"/>
      <c r="CM17" s="942"/>
      <c r="CN17" s="954" t="s">
        <v>140</v>
      </c>
      <c r="CO17" s="955"/>
      <c r="CP17" s="955"/>
      <c r="CQ17" s="955"/>
      <c r="CR17" s="955"/>
      <c r="CS17" s="955"/>
      <c r="CT17" s="955"/>
      <c r="CU17" s="956"/>
      <c r="CV17" s="430" t="s">
        <v>26</v>
      </c>
      <c r="CW17" s="430" t="s">
        <v>26</v>
      </c>
      <c r="CX17" s="572">
        <v>0</v>
      </c>
      <c r="CY17" s="431">
        <v>0</v>
      </c>
      <c r="CZ17" s="431">
        <v>0</v>
      </c>
      <c r="DA17" s="454">
        <v>0</v>
      </c>
    </row>
    <row r="18" spans="1:106" customFormat="1" ht="35.25" customHeight="1">
      <c r="A18" s="938" t="s">
        <v>141</v>
      </c>
      <c r="B18" s="939"/>
      <c r="C18" s="939"/>
      <c r="D18" s="939"/>
      <c r="E18" s="939"/>
      <c r="F18" s="939"/>
      <c r="G18" s="939"/>
      <c r="H18" s="940"/>
      <c r="I18" s="941" t="s">
        <v>182</v>
      </c>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942"/>
      <c r="AM18" s="942"/>
      <c r="AN18" s="942"/>
      <c r="AO18" s="942"/>
      <c r="AP18" s="942"/>
      <c r="AQ18" s="942"/>
      <c r="AR18" s="942"/>
      <c r="AS18" s="942"/>
      <c r="AT18" s="942"/>
      <c r="AU18" s="942"/>
      <c r="AV18" s="942"/>
      <c r="AW18" s="942"/>
      <c r="AX18" s="942"/>
      <c r="AY18" s="942"/>
      <c r="AZ18" s="942"/>
      <c r="BA18" s="942"/>
      <c r="BB18" s="942"/>
      <c r="BC18" s="942"/>
      <c r="BD18" s="942"/>
      <c r="BE18" s="942"/>
      <c r="BF18" s="942"/>
      <c r="BG18" s="942"/>
      <c r="BH18" s="942"/>
      <c r="BI18" s="942"/>
      <c r="BJ18" s="942"/>
      <c r="BK18" s="942"/>
      <c r="BL18" s="942"/>
      <c r="BM18" s="942"/>
      <c r="BN18" s="942"/>
      <c r="BO18" s="942"/>
      <c r="BP18" s="942"/>
      <c r="BQ18" s="942"/>
      <c r="BR18" s="942"/>
      <c r="BS18" s="942"/>
      <c r="BT18" s="942"/>
      <c r="BU18" s="942"/>
      <c r="BV18" s="942"/>
      <c r="BW18" s="942"/>
      <c r="BX18" s="942"/>
      <c r="BY18" s="942"/>
      <c r="BZ18" s="942"/>
      <c r="CA18" s="942"/>
      <c r="CB18" s="942"/>
      <c r="CC18" s="942"/>
      <c r="CD18" s="942"/>
      <c r="CE18" s="942"/>
      <c r="CF18" s="942"/>
      <c r="CG18" s="942"/>
      <c r="CH18" s="942"/>
      <c r="CI18" s="942"/>
      <c r="CJ18" s="942"/>
      <c r="CK18" s="942"/>
      <c r="CL18" s="942"/>
      <c r="CM18" s="942"/>
      <c r="CN18" s="954" t="s">
        <v>142</v>
      </c>
      <c r="CO18" s="955"/>
      <c r="CP18" s="955"/>
      <c r="CQ18" s="955"/>
      <c r="CR18" s="955"/>
      <c r="CS18" s="955"/>
      <c r="CT18" s="955"/>
      <c r="CU18" s="956"/>
      <c r="CV18" s="430" t="s">
        <v>26</v>
      </c>
      <c r="CW18" s="430" t="s">
        <v>26</v>
      </c>
      <c r="CX18" s="572">
        <f>19528554+61.05+239575.07+269272.13+61000-61.05-232726.23+194726.23+8000-10003.79-70000-304688.32-33338.99+33338.99-64093.24+64093.24+36972</f>
        <v>19720681.09</v>
      </c>
      <c r="CY18" s="431">
        <v>17848480.960000001</v>
      </c>
      <c r="CZ18" s="431">
        <v>10068224.199999999</v>
      </c>
      <c r="DA18" s="454">
        <v>0</v>
      </c>
      <c r="DB18" s="112">
        <f>CX18-'[2]ФХД_ Сведения по выплатам на з'!$CX$10</f>
        <v>-355720.11</v>
      </c>
    </row>
    <row r="19" spans="1:106" customFormat="1" ht="72" customHeight="1">
      <c r="A19" s="946" t="s">
        <v>143</v>
      </c>
      <c r="B19" s="947"/>
      <c r="C19" s="947"/>
      <c r="D19" s="947"/>
      <c r="E19" s="947"/>
      <c r="F19" s="947"/>
      <c r="G19" s="947"/>
      <c r="H19" s="948"/>
      <c r="I19" s="949" t="s">
        <v>521</v>
      </c>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BV19" s="950"/>
      <c r="BW19" s="950"/>
      <c r="BX19" s="950"/>
      <c r="BY19" s="950"/>
      <c r="BZ19" s="950"/>
      <c r="CA19" s="950"/>
      <c r="CB19" s="950"/>
      <c r="CC19" s="950"/>
      <c r="CD19" s="950"/>
      <c r="CE19" s="950"/>
      <c r="CF19" s="950"/>
      <c r="CG19" s="950"/>
      <c r="CH19" s="950"/>
      <c r="CI19" s="950"/>
      <c r="CJ19" s="950"/>
      <c r="CK19" s="950"/>
      <c r="CL19" s="950"/>
      <c r="CM19" s="950"/>
      <c r="CN19" s="959" t="s">
        <v>144</v>
      </c>
      <c r="CO19" s="960"/>
      <c r="CP19" s="960"/>
      <c r="CQ19" s="960"/>
      <c r="CR19" s="960"/>
      <c r="CS19" s="960"/>
      <c r="CT19" s="960"/>
      <c r="CU19" s="961"/>
      <c r="CV19" s="428" t="s">
        <v>26</v>
      </c>
      <c r="CW19" s="428" t="s">
        <v>26</v>
      </c>
      <c r="CX19" s="571">
        <f>SUM(CX20:CX22)</f>
        <v>250000</v>
      </c>
      <c r="CY19" s="429">
        <f>SUM(CY20:CY22)</f>
        <v>0</v>
      </c>
      <c r="CZ19" s="429">
        <f>SUM(CZ20:CZ22)</f>
        <v>0</v>
      </c>
      <c r="DA19" s="453">
        <f>SUM(DA20:DA22)</f>
        <v>0</v>
      </c>
    </row>
    <row r="20" spans="1:106" customFormat="1" ht="33" customHeight="1">
      <c r="A20" s="938" t="s">
        <v>145</v>
      </c>
      <c r="B20" s="939"/>
      <c r="C20" s="939"/>
      <c r="D20" s="939"/>
      <c r="E20" s="939"/>
      <c r="F20" s="939"/>
      <c r="G20" s="939"/>
      <c r="H20" s="940"/>
      <c r="I20" s="941" t="s">
        <v>518</v>
      </c>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2"/>
      <c r="AZ20" s="942"/>
      <c r="BA20" s="942"/>
      <c r="BB20" s="942"/>
      <c r="BC20" s="942"/>
      <c r="BD20" s="942"/>
      <c r="BE20" s="942"/>
      <c r="BF20" s="942"/>
      <c r="BG20" s="942"/>
      <c r="BH20" s="942"/>
      <c r="BI20" s="942"/>
      <c r="BJ20" s="942"/>
      <c r="BK20" s="942"/>
      <c r="BL20" s="942"/>
      <c r="BM20" s="942"/>
      <c r="BN20" s="942"/>
      <c r="BO20" s="942"/>
      <c r="BP20" s="942"/>
      <c r="BQ20" s="942"/>
      <c r="BR20" s="942"/>
      <c r="BS20" s="942"/>
      <c r="BT20" s="942"/>
      <c r="BU20" s="942"/>
      <c r="BV20" s="942"/>
      <c r="BW20" s="942"/>
      <c r="BX20" s="942"/>
      <c r="BY20" s="942"/>
      <c r="BZ20" s="942"/>
      <c r="CA20" s="942"/>
      <c r="CB20" s="942"/>
      <c r="CC20" s="942"/>
      <c r="CD20" s="942"/>
      <c r="CE20" s="942"/>
      <c r="CF20" s="942"/>
      <c r="CG20" s="942"/>
      <c r="CH20" s="942"/>
      <c r="CI20" s="942"/>
      <c r="CJ20" s="942"/>
      <c r="CK20" s="942"/>
      <c r="CL20" s="942"/>
      <c r="CM20" s="942"/>
      <c r="CN20" s="954" t="s">
        <v>146</v>
      </c>
      <c r="CO20" s="955"/>
      <c r="CP20" s="955"/>
      <c r="CQ20" s="955"/>
      <c r="CR20" s="955"/>
      <c r="CS20" s="955"/>
      <c r="CT20" s="955"/>
      <c r="CU20" s="956"/>
      <c r="CV20" s="430" t="s">
        <v>26</v>
      </c>
      <c r="CW20" s="430" t="s">
        <v>26</v>
      </c>
      <c r="CX20" s="572">
        <v>0</v>
      </c>
      <c r="CY20" s="431">
        <v>0</v>
      </c>
      <c r="CZ20" s="431">
        <v>0</v>
      </c>
      <c r="DA20" s="454">
        <v>0</v>
      </c>
    </row>
    <row r="21" spans="1:106" s="121" customFormat="1" ht="33" customHeight="1">
      <c r="A21" s="938"/>
      <c r="B21" s="939"/>
      <c r="C21" s="939"/>
      <c r="D21" s="939"/>
      <c r="E21" s="939"/>
      <c r="F21" s="939"/>
      <c r="G21" s="939"/>
      <c r="H21" s="940"/>
      <c r="I21" s="941" t="s">
        <v>59</v>
      </c>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2"/>
      <c r="AY21" s="942"/>
      <c r="AZ21" s="942"/>
      <c r="BA21" s="942"/>
      <c r="BB21" s="942"/>
      <c r="BC21" s="942"/>
      <c r="BD21" s="942"/>
      <c r="BE21" s="942"/>
      <c r="BF21" s="942"/>
      <c r="BG21" s="942"/>
      <c r="BH21" s="942"/>
      <c r="BI21" s="942"/>
      <c r="BJ21" s="942"/>
      <c r="BK21" s="942"/>
      <c r="BL21" s="942"/>
      <c r="BM21" s="942"/>
      <c r="BN21" s="942"/>
      <c r="BO21" s="942"/>
      <c r="BP21" s="942"/>
      <c r="BQ21" s="942"/>
      <c r="BR21" s="942"/>
      <c r="BS21" s="942"/>
      <c r="BT21" s="942"/>
      <c r="BU21" s="942"/>
      <c r="BV21" s="942"/>
      <c r="BW21" s="942"/>
      <c r="BX21" s="942"/>
      <c r="BY21" s="942"/>
      <c r="BZ21" s="942"/>
      <c r="CA21" s="942"/>
      <c r="CB21" s="942"/>
      <c r="CC21" s="942"/>
      <c r="CD21" s="942"/>
      <c r="CE21" s="942"/>
      <c r="CF21" s="942"/>
      <c r="CG21" s="942"/>
      <c r="CH21" s="942"/>
      <c r="CI21" s="942"/>
      <c r="CJ21" s="942"/>
      <c r="CK21" s="942"/>
      <c r="CL21" s="942"/>
      <c r="CM21" s="942"/>
      <c r="CN21" s="943" t="s">
        <v>193</v>
      </c>
      <c r="CO21" s="944"/>
      <c r="CP21" s="944"/>
      <c r="CQ21" s="944"/>
      <c r="CR21" s="944"/>
      <c r="CS21" s="944"/>
      <c r="CT21" s="944"/>
      <c r="CU21" s="945"/>
      <c r="CV21" s="430"/>
      <c r="CW21" s="430"/>
      <c r="CX21" s="572">
        <v>0</v>
      </c>
      <c r="CY21" s="431">
        <v>0</v>
      </c>
      <c r="CZ21" s="431">
        <v>0</v>
      </c>
      <c r="DA21" s="454">
        <v>0</v>
      </c>
    </row>
    <row r="22" spans="1:106" customFormat="1" ht="33" customHeight="1">
      <c r="A22" s="938" t="s">
        <v>147</v>
      </c>
      <c r="B22" s="939"/>
      <c r="C22" s="939"/>
      <c r="D22" s="939"/>
      <c r="E22" s="939"/>
      <c r="F22" s="939"/>
      <c r="G22" s="939"/>
      <c r="H22" s="940"/>
      <c r="I22" s="941" t="s">
        <v>182</v>
      </c>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2"/>
      <c r="BJ22" s="942"/>
      <c r="BK22" s="942"/>
      <c r="BL22" s="942"/>
      <c r="BM22" s="942"/>
      <c r="BN22" s="942"/>
      <c r="BO22" s="942"/>
      <c r="BP22" s="942"/>
      <c r="BQ22" s="942"/>
      <c r="BR22" s="942"/>
      <c r="BS22" s="942"/>
      <c r="BT22" s="942"/>
      <c r="BU22" s="942"/>
      <c r="BV22" s="942"/>
      <c r="BW22" s="942"/>
      <c r="BX22" s="942"/>
      <c r="BY22" s="942"/>
      <c r="BZ22" s="942"/>
      <c r="CA22" s="942"/>
      <c r="CB22" s="942"/>
      <c r="CC22" s="942"/>
      <c r="CD22" s="942"/>
      <c r="CE22" s="942"/>
      <c r="CF22" s="942"/>
      <c r="CG22" s="942"/>
      <c r="CH22" s="942"/>
      <c r="CI22" s="942"/>
      <c r="CJ22" s="942"/>
      <c r="CK22" s="942"/>
      <c r="CL22" s="942"/>
      <c r="CM22" s="942"/>
      <c r="CN22" s="954" t="s">
        <v>148</v>
      </c>
      <c r="CO22" s="955"/>
      <c r="CP22" s="955"/>
      <c r="CQ22" s="955"/>
      <c r="CR22" s="955"/>
      <c r="CS22" s="955"/>
      <c r="CT22" s="955"/>
      <c r="CU22" s="956"/>
      <c r="CV22" s="430" t="s">
        <v>26</v>
      </c>
      <c r="CW22" s="430" t="s">
        <v>26</v>
      </c>
      <c r="CX22" s="572">
        <v>250000</v>
      </c>
      <c r="CY22" s="431">
        <v>0</v>
      </c>
      <c r="CZ22" s="431">
        <v>0</v>
      </c>
      <c r="DA22" s="454">
        <v>0</v>
      </c>
    </row>
    <row r="23" spans="1:106" customFormat="1" ht="44.25" customHeight="1">
      <c r="A23" s="946" t="s">
        <v>149</v>
      </c>
      <c r="B23" s="947"/>
      <c r="C23" s="947"/>
      <c r="D23" s="947"/>
      <c r="E23" s="947"/>
      <c r="F23" s="947"/>
      <c r="G23" s="947"/>
      <c r="H23" s="948"/>
      <c r="I23" s="957" t="s">
        <v>524</v>
      </c>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X23" s="958"/>
      <c r="AY23" s="958"/>
      <c r="AZ23" s="958"/>
      <c r="BA23" s="958"/>
      <c r="BB23" s="958"/>
      <c r="BC23" s="958"/>
      <c r="BD23" s="958"/>
      <c r="BE23" s="958"/>
      <c r="BF23" s="958"/>
      <c r="BG23" s="958"/>
      <c r="BH23" s="958"/>
      <c r="BI23" s="958"/>
      <c r="BJ23" s="958"/>
      <c r="BK23" s="958"/>
      <c r="BL23" s="958"/>
      <c r="BM23" s="958"/>
      <c r="BN23" s="958"/>
      <c r="BO23" s="958"/>
      <c r="BP23" s="958"/>
      <c r="BQ23" s="958"/>
      <c r="BR23" s="958"/>
      <c r="BS23" s="958"/>
      <c r="BT23" s="958"/>
      <c r="BU23" s="958"/>
      <c r="BV23" s="958"/>
      <c r="BW23" s="958"/>
      <c r="BX23" s="958"/>
      <c r="BY23" s="958"/>
      <c r="BZ23" s="958"/>
      <c r="CA23" s="958"/>
      <c r="CB23" s="958"/>
      <c r="CC23" s="958"/>
      <c r="CD23" s="958"/>
      <c r="CE23" s="958"/>
      <c r="CF23" s="958"/>
      <c r="CG23" s="958"/>
      <c r="CH23" s="958"/>
      <c r="CI23" s="958"/>
      <c r="CJ23" s="958"/>
      <c r="CK23" s="958"/>
      <c r="CL23" s="958"/>
      <c r="CM23" s="958"/>
      <c r="CN23" s="959" t="s">
        <v>150</v>
      </c>
      <c r="CO23" s="960"/>
      <c r="CP23" s="960"/>
      <c r="CQ23" s="960"/>
      <c r="CR23" s="960"/>
      <c r="CS23" s="960"/>
      <c r="CT23" s="960"/>
      <c r="CU23" s="961"/>
      <c r="CV23" s="428" t="s">
        <v>26</v>
      </c>
      <c r="CW23" s="428" t="s">
        <v>26</v>
      </c>
      <c r="CX23" s="571">
        <v>0</v>
      </c>
      <c r="CY23" s="429">
        <v>0</v>
      </c>
      <c r="CZ23" s="429">
        <v>0</v>
      </c>
      <c r="DA23" s="453">
        <v>0</v>
      </c>
    </row>
    <row r="24" spans="1:106" s="121" customFormat="1" ht="21" customHeight="1">
      <c r="A24" s="938"/>
      <c r="B24" s="939"/>
      <c r="C24" s="939"/>
      <c r="D24" s="939"/>
      <c r="E24" s="939"/>
      <c r="F24" s="939"/>
      <c r="G24" s="939"/>
      <c r="H24" s="940"/>
      <c r="I24" s="941" t="s">
        <v>59</v>
      </c>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942"/>
      <c r="BC24" s="942"/>
      <c r="BD24" s="942"/>
      <c r="BE24" s="942"/>
      <c r="BF24" s="942"/>
      <c r="BG24" s="942"/>
      <c r="BH24" s="942"/>
      <c r="BI24" s="942"/>
      <c r="BJ24" s="942"/>
      <c r="BK24" s="942"/>
      <c r="BL24" s="942"/>
      <c r="BM24" s="942"/>
      <c r="BN24" s="942"/>
      <c r="BO24" s="942"/>
      <c r="BP24" s="942"/>
      <c r="BQ24" s="942"/>
      <c r="BR24" s="942"/>
      <c r="BS24" s="942"/>
      <c r="BT24" s="942"/>
      <c r="BU24" s="942"/>
      <c r="BV24" s="942"/>
      <c r="BW24" s="942"/>
      <c r="BX24" s="942"/>
      <c r="BY24" s="942"/>
      <c r="BZ24" s="942"/>
      <c r="CA24" s="942"/>
      <c r="CB24" s="942"/>
      <c r="CC24" s="942"/>
      <c r="CD24" s="942"/>
      <c r="CE24" s="942"/>
      <c r="CF24" s="942"/>
      <c r="CG24" s="942"/>
      <c r="CH24" s="942"/>
      <c r="CI24" s="942"/>
      <c r="CJ24" s="942"/>
      <c r="CK24" s="942"/>
      <c r="CL24" s="942"/>
      <c r="CM24" s="942"/>
      <c r="CN24" s="943" t="s">
        <v>194</v>
      </c>
      <c r="CO24" s="944"/>
      <c r="CP24" s="944"/>
      <c r="CQ24" s="944"/>
      <c r="CR24" s="944"/>
      <c r="CS24" s="944"/>
      <c r="CT24" s="944"/>
      <c r="CU24" s="945"/>
      <c r="CV24" s="430"/>
      <c r="CW24" s="430"/>
      <c r="CX24" s="572">
        <v>0</v>
      </c>
      <c r="CY24" s="431">
        <v>0</v>
      </c>
      <c r="CZ24" s="431">
        <v>0</v>
      </c>
      <c r="DA24" s="454">
        <v>0</v>
      </c>
    </row>
    <row r="25" spans="1:106" s="121" customFormat="1" ht="35.25" customHeight="1">
      <c r="A25" s="946" t="s">
        <v>151</v>
      </c>
      <c r="B25" s="947"/>
      <c r="C25" s="947"/>
      <c r="D25" s="947"/>
      <c r="E25" s="947"/>
      <c r="F25" s="947"/>
      <c r="G25" s="947"/>
      <c r="H25" s="948"/>
      <c r="I25" s="949" t="s">
        <v>525</v>
      </c>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0"/>
      <c r="BO25" s="950"/>
      <c r="BP25" s="950"/>
      <c r="BQ25" s="950"/>
      <c r="BR25" s="950"/>
      <c r="BS25" s="950"/>
      <c r="BT25" s="950"/>
      <c r="BU25" s="950"/>
      <c r="BV25" s="950"/>
      <c r="BW25" s="950"/>
      <c r="BX25" s="950"/>
      <c r="BY25" s="950"/>
      <c r="BZ25" s="950"/>
      <c r="CA25" s="950"/>
      <c r="CB25" s="950"/>
      <c r="CC25" s="950"/>
      <c r="CD25" s="950"/>
      <c r="CE25" s="950"/>
      <c r="CF25" s="950"/>
      <c r="CG25" s="950"/>
      <c r="CH25" s="950"/>
      <c r="CI25" s="950"/>
      <c r="CJ25" s="950"/>
      <c r="CK25" s="950"/>
      <c r="CL25" s="950"/>
      <c r="CM25" s="950"/>
      <c r="CN25" s="951" t="s">
        <v>195</v>
      </c>
      <c r="CO25" s="952"/>
      <c r="CP25" s="952"/>
      <c r="CQ25" s="952"/>
      <c r="CR25" s="952"/>
      <c r="CS25" s="952"/>
      <c r="CT25" s="952"/>
      <c r="CU25" s="953"/>
      <c r="CV25" s="428" t="s">
        <v>26</v>
      </c>
      <c r="CW25" s="428" t="s">
        <v>26</v>
      </c>
      <c r="CX25" s="571">
        <f>SUM(CX26:CX27)</f>
        <v>0</v>
      </c>
      <c r="CY25" s="429">
        <f>SUM(CY26:CY27)</f>
        <v>0</v>
      </c>
      <c r="CZ25" s="429">
        <f>SUM(CZ26:CZ27)</f>
        <v>0</v>
      </c>
      <c r="DA25" s="453">
        <f>SUM(DA26:DA27)</f>
        <v>0</v>
      </c>
    </row>
    <row r="26" spans="1:106" s="121" customFormat="1" ht="37.5" customHeight="1">
      <c r="A26" s="938" t="s">
        <v>183</v>
      </c>
      <c r="B26" s="939"/>
      <c r="C26" s="939"/>
      <c r="D26" s="939"/>
      <c r="E26" s="939"/>
      <c r="F26" s="939"/>
      <c r="G26" s="939"/>
      <c r="H26" s="940"/>
      <c r="I26" s="941" t="s">
        <v>520</v>
      </c>
      <c r="J26" s="942"/>
      <c r="K26" s="942"/>
      <c r="L26" s="942"/>
      <c r="M26" s="942"/>
      <c r="N26" s="942"/>
      <c r="O26" s="942"/>
      <c r="P26" s="942"/>
      <c r="Q26" s="942"/>
      <c r="R26" s="942"/>
      <c r="S26" s="942"/>
      <c r="T26" s="942"/>
      <c r="U26" s="942"/>
      <c r="V26" s="942"/>
      <c r="W26" s="942"/>
      <c r="X26" s="942"/>
      <c r="Y26" s="942"/>
      <c r="Z26" s="942"/>
      <c r="AA26" s="942"/>
      <c r="AB26" s="942"/>
      <c r="AC26" s="942"/>
      <c r="AD26" s="942"/>
      <c r="AE26" s="942"/>
      <c r="AF26" s="942"/>
      <c r="AG26" s="942"/>
      <c r="AH26" s="942"/>
      <c r="AI26" s="942"/>
      <c r="AJ26" s="942"/>
      <c r="AK26" s="942"/>
      <c r="AL26" s="942"/>
      <c r="AM26" s="942"/>
      <c r="AN26" s="942"/>
      <c r="AO26" s="942"/>
      <c r="AP26" s="942"/>
      <c r="AQ26" s="942"/>
      <c r="AR26" s="942"/>
      <c r="AS26" s="942"/>
      <c r="AT26" s="942"/>
      <c r="AU26" s="942"/>
      <c r="AV26" s="942"/>
      <c r="AW26" s="942"/>
      <c r="AX26" s="942"/>
      <c r="AY26" s="942"/>
      <c r="AZ26" s="942"/>
      <c r="BA26" s="942"/>
      <c r="BB26" s="942"/>
      <c r="BC26" s="942"/>
      <c r="BD26" s="942"/>
      <c r="BE26" s="942"/>
      <c r="BF26" s="942"/>
      <c r="BG26" s="942"/>
      <c r="BH26" s="942"/>
      <c r="BI26" s="942"/>
      <c r="BJ26" s="942"/>
      <c r="BK26" s="942"/>
      <c r="BL26" s="942"/>
      <c r="BM26" s="942"/>
      <c r="BN26" s="942"/>
      <c r="BO26" s="942"/>
      <c r="BP26" s="942"/>
      <c r="BQ26" s="942"/>
      <c r="BR26" s="942"/>
      <c r="BS26" s="942"/>
      <c r="BT26" s="942"/>
      <c r="BU26" s="942"/>
      <c r="BV26" s="942"/>
      <c r="BW26" s="942"/>
      <c r="BX26" s="942"/>
      <c r="BY26" s="942"/>
      <c r="BZ26" s="942"/>
      <c r="CA26" s="942"/>
      <c r="CB26" s="942"/>
      <c r="CC26" s="942"/>
      <c r="CD26" s="942"/>
      <c r="CE26" s="942"/>
      <c r="CF26" s="942"/>
      <c r="CG26" s="942"/>
      <c r="CH26" s="942"/>
      <c r="CI26" s="942"/>
      <c r="CJ26" s="942"/>
      <c r="CK26" s="942"/>
      <c r="CL26" s="942"/>
      <c r="CM26" s="942"/>
      <c r="CN26" s="954" t="s">
        <v>196</v>
      </c>
      <c r="CO26" s="955"/>
      <c r="CP26" s="955"/>
      <c r="CQ26" s="955"/>
      <c r="CR26" s="955"/>
      <c r="CS26" s="955"/>
      <c r="CT26" s="955"/>
      <c r="CU26" s="956"/>
      <c r="CV26" s="430" t="s">
        <v>26</v>
      </c>
      <c r="CW26" s="430" t="s">
        <v>26</v>
      </c>
      <c r="CX26" s="572">
        <v>0</v>
      </c>
      <c r="CY26" s="431">
        <v>0</v>
      </c>
      <c r="CZ26" s="431">
        <v>0</v>
      </c>
      <c r="DA26" s="454">
        <v>0</v>
      </c>
    </row>
    <row r="27" spans="1:106" s="121" customFormat="1" ht="37.5" customHeight="1">
      <c r="A27" s="938" t="s">
        <v>184</v>
      </c>
      <c r="B27" s="939"/>
      <c r="C27" s="939"/>
      <c r="D27" s="939"/>
      <c r="E27" s="939"/>
      <c r="F27" s="939"/>
      <c r="G27" s="939"/>
      <c r="H27" s="940"/>
      <c r="I27" s="941" t="s">
        <v>182</v>
      </c>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c r="AS27" s="942"/>
      <c r="AT27" s="942"/>
      <c r="AU27" s="942"/>
      <c r="AV27" s="942"/>
      <c r="AW27" s="942"/>
      <c r="AX27" s="942"/>
      <c r="AY27" s="942"/>
      <c r="AZ27" s="942"/>
      <c r="BA27" s="942"/>
      <c r="BB27" s="942"/>
      <c r="BC27" s="942"/>
      <c r="BD27" s="942"/>
      <c r="BE27" s="942"/>
      <c r="BF27" s="942"/>
      <c r="BG27" s="942"/>
      <c r="BH27" s="942"/>
      <c r="BI27" s="942"/>
      <c r="BJ27" s="942"/>
      <c r="BK27" s="942"/>
      <c r="BL27" s="942"/>
      <c r="BM27" s="942"/>
      <c r="BN27" s="942"/>
      <c r="BO27" s="942"/>
      <c r="BP27" s="942"/>
      <c r="BQ27" s="942"/>
      <c r="BR27" s="942"/>
      <c r="BS27" s="942"/>
      <c r="BT27" s="942"/>
      <c r="BU27" s="942"/>
      <c r="BV27" s="942"/>
      <c r="BW27" s="942"/>
      <c r="BX27" s="942"/>
      <c r="BY27" s="942"/>
      <c r="BZ27" s="942"/>
      <c r="CA27" s="942"/>
      <c r="CB27" s="942"/>
      <c r="CC27" s="942"/>
      <c r="CD27" s="942"/>
      <c r="CE27" s="942"/>
      <c r="CF27" s="942"/>
      <c r="CG27" s="942"/>
      <c r="CH27" s="942"/>
      <c r="CI27" s="942"/>
      <c r="CJ27" s="942"/>
      <c r="CK27" s="942"/>
      <c r="CL27" s="942"/>
      <c r="CM27" s="942"/>
      <c r="CN27" s="954" t="s">
        <v>197</v>
      </c>
      <c r="CO27" s="955"/>
      <c r="CP27" s="955"/>
      <c r="CQ27" s="955"/>
      <c r="CR27" s="955"/>
      <c r="CS27" s="955"/>
      <c r="CT27" s="955"/>
      <c r="CU27" s="956"/>
      <c r="CV27" s="430" t="s">
        <v>26</v>
      </c>
      <c r="CW27" s="430" t="s">
        <v>26</v>
      </c>
      <c r="CX27" s="572">
        <v>0</v>
      </c>
      <c r="CY27" s="431">
        <v>0</v>
      </c>
      <c r="CZ27" s="431">
        <v>0</v>
      </c>
      <c r="DA27" s="454">
        <v>0</v>
      </c>
    </row>
    <row r="28" spans="1:106" customFormat="1" ht="33" customHeight="1">
      <c r="A28" s="946" t="s">
        <v>198</v>
      </c>
      <c r="B28" s="947"/>
      <c r="C28" s="947"/>
      <c r="D28" s="947"/>
      <c r="E28" s="947"/>
      <c r="F28" s="947"/>
      <c r="G28" s="947"/>
      <c r="H28" s="948"/>
      <c r="I28" s="957" t="s">
        <v>185</v>
      </c>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8"/>
      <c r="AY28" s="958"/>
      <c r="AZ28" s="958"/>
      <c r="BA28" s="958"/>
      <c r="BB28" s="958"/>
      <c r="BC28" s="958"/>
      <c r="BD28" s="958"/>
      <c r="BE28" s="958"/>
      <c r="BF28" s="958"/>
      <c r="BG28" s="958"/>
      <c r="BH28" s="958"/>
      <c r="BI28" s="958"/>
      <c r="BJ28" s="958"/>
      <c r="BK28" s="958"/>
      <c r="BL28" s="958"/>
      <c r="BM28" s="958"/>
      <c r="BN28" s="958"/>
      <c r="BO28" s="958"/>
      <c r="BP28" s="958"/>
      <c r="BQ28" s="958"/>
      <c r="BR28" s="958"/>
      <c r="BS28" s="958"/>
      <c r="BT28" s="958"/>
      <c r="BU28" s="958"/>
      <c r="BV28" s="958"/>
      <c r="BW28" s="958"/>
      <c r="BX28" s="958"/>
      <c r="BY28" s="958"/>
      <c r="BZ28" s="958"/>
      <c r="CA28" s="958"/>
      <c r="CB28" s="958"/>
      <c r="CC28" s="958"/>
      <c r="CD28" s="958"/>
      <c r="CE28" s="958"/>
      <c r="CF28" s="958"/>
      <c r="CG28" s="958"/>
      <c r="CH28" s="958"/>
      <c r="CI28" s="958"/>
      <c r="CJ28" s="958"/>
      <c r="CK28" s="958"/>
      <c r="CL28" s="958"/>
      <c r="CM28" s="958"/>
      <c r="CN28" s="959" t="s">
        <v>152</v>
      </c>
      <c r="CO28" s="960"/>
      <c r="CP28" s="960"/>
      <c r="CQ28" s="960"/>
      <c r="CR28" s="960"/>
      <c r="CS28" s="960"/>
      <c r="CT28" s="960"/>
      <c r="CU28" s="961"/>
      <c r="CV28" s="428" t="s">
        <v>26</v>
      </c>
      <c r="CW28" s="428" t="s">
        <v>26</v>
      </c>
      <c r="CX28" s="571">
        <f>SUM(CX29:CX31)</f>
        <v>4722766.7</v>
      </c>
      <c r="CY28" s="429">
        <f>SUM(CY29:CY31)</f>
        <v>5059633.43</v>
      </c>
      <c r="CZ28" s="429">
        <f>SUM(CZ29:CZ31)</f>
        <v>5065160.8499999996</v>
      </c>
      <c r="DA28" s="453">
        <f>SUM(DA29:DA31)</f>
        <v>0</v>
      </c>
    </row>
    <row r="29" spans="1:106" customFormat="1" ht="45" customHeight="1">
      <c r="A29" s="938" t="s">
        <v>199</v>
      </c>
      <c r="B29" s="939"/>
      <c r="C29" s="939"/>
      <c r="D29" s="939"/>
      <c r="E29" s="939"/>
      <c r="F29" s="939"/>
      <c r="G29" s="939"/>
      <c r="H29" s="940"/>
      <c r="I29" s="941" t="s">
        <v>518</v>
      </c>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942"/>
      <c r="AZ29" s="942"/>
      <c r="BA29" s="942"/>
      <c r="BB29" s="942"/>
      <c r="BC29" s="942"/>
      <c r="BD29" s="942"/>
      <c r="BE29" s="942"/>
      <c r="BF29" s="942"/>
      <c r="BG29" s="942"/>
      <c r="BH29" s="942"/>
      <c r="BI29" s="942"/>
      <c r="BJ29" s="942"/>
      <c r="BK29" s="942"/>
      <c r="BL29" s="942"/>
      <c r="BM29" s="942"/>
      <c r="BN29" s="942"/>
      <c r="BO29" s="942"/>
      <c r="BP29" s="942"/>
      <c r="BQ29" s="942"/>
      <c r="BR29" s="942"/>
      <c r="BS29" s="942"/>
      <c r="BT29" s="942"/>
      <c r="BU29" s="942"/>
      <c r="BV29" s="942"/>
      <c r="BW29" s="942"/>
      <c r="BX29" s="942"/>
      <c r="BY29" s="942"/>
      <c r="BZ29" s="942"/>
      <c r="CA29" s="942"/>
      <c r="CB29" s="942"/>
      <c r="CC29" s="942"/>
      <c r="CD29" s="942"/>
      <c r="CE29" s="942"/>
      <c r="CF29" s="942"/>
      <c r="CG29" s="942"/>
      <c r="CH29" s="942"/>
      <c r="CI29" s="942"/>
      <c r="CJ29" s="942"/>
      <c r="CK29" s="942"/>
      <c r="CL29" s="942"/>
      <c r="CM29" s="942"/>
      <c r="CN29" s="954" t="s">
        <v>153</v>
      </c>
      <c r="CO29" s="955"/>
      <c r="CP29" s="955"/>
      <c r="CQ29" s="955"/>
      <c r="CR29" s="955"/>
      <c r="CS29" s="955"/>
      <c r="CT29" s="955"/>
      <c r="CU29" s="956"/>
      <c r="CV29" s="430" t="s">
        <v>26</v>
      </c>
      <c r="CW29" s="430" t="s">
        <v>26</v>
      </c>
      <c r="CX29" s="572">
        <v>0</v>
      </c>
      <c r="CY29" s="431">
        <v>0</v>
      </c>
      <c r="CZ29" s="431">
        <v>0</v>
      </c>
      <c r="DA29" s="454">
        <v>0</v>
      </c>
    </row>
    <row r="30" spans="1:106" s="121" customFormat="1" ht="15" customHeight="1">
      <c r="A30" s="938"/>
      <c r="B30" s="939"/>
      <c r="C30" s="939"/>
      <c r="D30" s="939"/>
      <c r="E30" s="939"/>
      <c r="F30" s="939"/>
      <c r="G30" s="939"/>
      <c r="H30" s="940"/>
      <c r="I30" s="941" t="s">
        <v>59</v>
      </c>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942"/>
      <c r="AZ30" s="942"/>
      <c r="BA30" s="942"/>
      <c r="BB30" s="942"/>
      <c r="BC30" s="942"/>
      <c r="BD30" s="942"/>
      <c r="BE30" s="942"/>
      <c r="BF30" s="942"/>
      <c r="BG30" s="942"/>
      <c r="BH30" s="942"/>
      <c r="BI30" s="942"/>
      <c r="BJ30" s="942"/>
      <c r="BK30" s="942"/>
      <c r="BL30" s="942"/>
      <c r="BM30" s="942"/>
      <c r="BN30" s="942"/>
      <c r="BO30" s="942"/>
      <c r="BP30" s="942"/>
      <c r="BQ30" s="942"/>
      <c r="BR30" s="942"/>
      <c r="BS30" s="942"/>
      <c r="BT30" s="942"/>
      <c r="BU30" s="942"/>
      <c r="BV30" s="942"/>
      <c r="BW30" s="942"/>
      <c r="BX30" s="942"/>
      <c r="BY30" s="942"/>
      <c r="BZ30" s="942"/>
      <c r="CA30" s="942"/>
      <c r="CB30" s="942"/>
      <c r="CC30" s="942"/>
      <c r="CD30" s="942"/>
      <c r="CE30" s="942"/>
      <c r="CF30" s="942"/>
      <c r="CG30" s="942"/>
      <c r="CH30" s="942"/>
      <c r="CI30" s="942"/>
      <c r="CJ30" s="942"/>
      <c r="CK30" s="942"/>
      <c r="CL30" s="942"/>
      <c r="CM30" s="942"/>
      <c r="CN30" s="943" t="s">
        <v>200</v>
      </c>
      <c r="CO30" s="944"/>
      <c r="CP30" s="944"/>
      <c r="CQ30" s="944"/>
      <c r="CR30" s="944"/>
      <c r="CS30" s="944"/>
      <c r="CT30" s="944"/>
      <c r="CU30" s="945"/>
      <c r="CV30" s="430"/>
      <c r="CW30" s="430"/>
      <c r="CX30" s="572">
        <v>0</v>
      </c>
      <c r="CY30" s="431">
        <v>0</v>
      </c>
      <c r="CZ30" s="431">
        <v>0</v>
      </c>
      <c r="DA30" s="454">
        <v>0</v>
      </c>
    </row>
    <row r="31" spans="1:106" customFormat="1" ht="40.5" customHeight="1">
      <c r="A31" s="938" t="s">
        <v>201</v>
      </c>
      <c r="B31" s="939"/>
      <c r="C31" s="939"/>
      <c r="D31" s="939"/>
      <c r="E31" s="939"/>
      <c r="F31" s="939"/>
      <c r="G31" s="939"/>
      <c r="H31" s="940"/>
      <c r="I31" s="941" t="s">
        <v>182</v>
      </c>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942"/>
      <c r="AZ31" s="942"/>
      <c r="BA31" s="942"/>
      <c r="BB31" s="942"/>
      <c r="BC31" s="942"/>
      <c r="BD31" s="942"/>
      <c r="BE31" s="942"/>
      <c r="BF31" s="942"/>
      <c r="BG31" s="942"/>
      <c r="BH31" s="942"/>
      <c r="BI31" s="942"/>
      <c r="BJ31" s="942"/>
      <c r="BK31" s="942"/>
      <c r="BL31" s="942"/>
      <c r="BM31" s="942"/>
      <c r="BN31" s="942"/>
      <c r="BO31" s="942"/>
      <c r="BP31" s="942"/>
      <c r="BQ31" s="942"/>
      <c r="BR31" s="942"/>
      <c r="BS31" s="942"/>
      <c r="BT31" s="942"/>
      <c r="BU31" s="942"/>
      <c r="BV31" s="942"/>
      <c r="BW31" s="942"/>
      <c r="BX31" s="942"/>
      <c r="BY31" s="942"/>
      <c r="BZ31" s="942"/>
      <c r="CA31" s="942"/>
      <c r="CB31" s="942"/>
      <c r="CC31" s="942"/>
      <c r="CD31" s="942"/>
      <c r="CE31" s="942"/>
      <c r="CF31" s="942"/>
      <c r="CG31" s="942"/>
      <c r="CH31" s="942"/>
      <c r="CI31" s="942"/>
      <c r="CJ31" s="942"/>
      <c r="CK31" s="942"/>
      <c r="CL31" s="942"/>
      <c r="CM31" s="942"/>
      <c r="CN31" s="954" t="s">
        <v>154</v>
      </c>
      <c r="CO31" s="955"/>
      <c r="CP31" s="955"/>
      <c r="CQ31" s="955"/>
      <c r="CR31" s="955"/>
      <c r="CS31" s="955"/>
      <c r="CT31" s="955"/>
      <c r="CU31" s="956"/>
      <c r="CV31" s="430" t="s">
        <v>26</v>
      </c>
      <c r="CW31" s="430" t="s">
        <v>26</v>
      </c>
      <c r="CX31" s="572">
        <f>4722766.7</f>
        <v>4722766.7</v>
      </c>
      <c r="CY31" s="431">
        <v>5059633.43</v>
      </c>
      <c r="CZ31" s="431">
        <v>5065160.8499999996</v>
      </c>
      <c r="DA31" s="454">
        <v>0</v>
      </c>
      <c r="DB31" s="112">
        <f>CX31-'[2]ФХД_ Сведения по выплатам на з'!$CX$14</f>
        <v>0</v>
      </c>
    </row>
    <row r="32" spans="1:106" customFormat="1" ht="80.25" customHeight="1">
      <c r="A32" s="994">
        <v>2</v>
      </c>
      <c r="B32" s="994"/>
      <c r="C32" s="994"/>
      <c r="D32" s="994"/>
      <c r="E32" s="994"/>
      <c r="F32" s="994"/>
      <c r="G32" s="994"/>
      <c r="H32" s="994"/>
      <c r="I32" s="995" t="s">
        <v>155</v>
      </c>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996"/>
      <c r="AY32" s="996"/>
      <c r="AZ32" s="996"/>
      <c r="BA32" s="996"/>
      <c r="BB32" s="996"/>
      <c r="BC32" s="996"/>
      <c r="BD32" s="996"/>
      <c r="BE32" s="996"/>
      <c r="BF32" s="996"/>
      <c r="BG32" s="996"/>
      <c r="BH32" s="996"/>
      <c r="BI32" s="996"/>
      <c r="BJ32" s="996"/>
      <c r="BK32" s="996"/>
      <c r="BL32" s="996"/>
      <c r="BM32" s="996"/>
      <c r="BN32" s="996"/>
      <c r="BO32" s="996"/>
      <c r="BP32" s="996"/>
      <c r="BQ32" s="996"/>
      <c r="BR32" s="996"/>
      <c r="BS32" s="996"/>
      <c r="BT32" s="996"/>
      <c r="BU32" s="996"/>
      <c r="BV32" s="996"/>
      <c r="BW32" s="996"/>
      <c r="BX32" s="996"/>
      <c r="BY32" s="996"/>
      <c r="BZ32" s="996"/>
      <c r="CA32" s="996"/>
      <c r="CB32" s="996"/>
      <c r="CC32" s="996"/>
      <c r="CD32" s="996"/>
      <c r="CE32" s="996"/>
      <c r="CF32" s="996"/>
      <c r="CG32" s="996"/>
      <c r="CH32" s="996"/>
      <c r="CI32" s="996"/>
      <c r="CJ32" s="996"/>
      <c r="CK32" s="996"/>
      <c r="CL32" s="996"/>
      <c r="CM32" s="996"/>
      <c r="CN32" s="997" t="s">
        <v>156</v>
      </c>
      <c r="CO32" s="998"/>
      <c r="CP32" s="998"/>
      <c r="CQ32" s="998"/>
      <c r="CR32" s="998"/>
      <c r="CS32" s="998"/>
      <c r="CT32" s="998"/>
      <c r="CU32" s="999"/>
      <c r="CV32" s="432" t="s">
        <v>157</v>
      </c>
      <c r="CW32" s="432" t="s">
        <v>26</v>
      </c>
      <c r="CX32" s="573">
        <v>0</v>
      </c>
      <c r="CY32" s="433">
        <v>0</v>
      </c>
      <c r="CZ32" s="433">
        <v>0</v>
      </c>
      <c r="DA32" s="455">
        <v>0</v>
      </c>
    </row>
    <row r="33" spans="1:105" customFormat="1" ht="33.75" customHeight="1">
      <c r="A33" s="938" t="s">
        <v>158</v>
      </c>
      <c r="B33" s="939"/>
      <c r="C33" s="939"/>
      <c r="D33" s="939"/>
      <c r="E33" s="939"/>
      <c r="F33" s="939"/>
      <c r="G33" s="939"/>
      <c r="H33" s="940"/>
      <c r="I33" s="1000" t="s">
        <v>159</v>
      </c>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J33" s="1001"/>
      <c r="CK33" s="1001"/>
      <c r="CL33" s="1001"/>
      <c r="CM33" s="1001"/>
      <c r="CN33" s="954" t="s">
        <v>160</v>
      </c>
      <c r="CO33" s="955"/>
      <c r="CP33" s="955"/>
      <c r="CQ33" s="955"/>
      <c r="CR33" s="955"/>
      <c r="CS33" s="955"/>
      <c r="CT33" s="955"/>
      <c r="CU33" s="956"/>
      <c r="CV33" s="430" t="s">
        <v>162</v>
      </c>
      <c r="CW33" s="430" t="s">
        <v>26</v>
      </c>
      <c r="CX33" s="572">
        <v>0</v>
      </c>
      <c r="CY33" s="431">
        <v>0</v>
      </c>
      <c r="CZ33" s="431">
        <v>0</v>
      </c>
      <c r="DA33" s="454">
        <v>0</v>
      </c>
    </row>
    <row r="34" spans="1:105" customFormat="1" ht="33.75" customHeight="1">
      <c r="A34" s="938" t="s">
        <v>161</v>
      </c>
      <c r="B34" s="939"/>
      <c r="C34" s="939"/>
      <c r="D34" s="939"/>
      <c r="E34" s="939"/>
      <c r="F34" s="939"/>
      <c r="G34" s="939"/>
      <c r="H34" s="940"/>
      <c r="I34" s="1000" t="s">
        <v>159</v>
      </c>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1"/>
      <c r="AP34" s="1001"/>
      <c r="AQ34" s="1001"/>
      <c r="AR34" s="1001"/>
      <c r="AS34" s="1001"/>
      <c r="AT34" s="1001"/>
      <c r="AU34" s="1001"/>
      <c r="AV34" s="1001"/>
      <c r="AW34" s="1001"/>
      <c r="AX34" s="1001"/>
      <c r="AY34" s="1001"/>
      <c r="AZ34" s="1001"/>
      <c r="BA34" s="1001"/>
      <c r="BB34" s="1001"/>
      <c r="BC34" s="1001"/>
      <c r="BD34" s="1001"/>
      <c r="BE34" s="1001"/>
      <c r="BF34" s="1001"/>
      <c r="BG34" s="1001"/>
      <c r="BH34" s="1001"/>
      <c r="BI34" s="1001"/>
      <c r="BJ34" s="1001"/>
      <c r="BK34" s="1001"/>
      <c r="BL34" s="1001"/>
      <c r="BM34" s="1001"/>
      <c r="BN34" s="1001"/>
      <c r="BO34" s="1001"/>
      <c r="BP34" s="1001"/>
      <c r="BQ34" s="1001"/>
      <c r="BR34" s="1001"/>
      <c r="BS34" s="1001"/>
      <c r="BT34" s="1001"/>
      <c r="BU34" s="1001"/>
      <c r="BV34" s="1001"/>
      <c r="BW34" s="1001"/>
      <c r="BX34" s="1001"/>
      <c r="BY34" s="1001"/>
      <c r="BZ34" s="1001"/>
      <c r="CA34" s="1001"/>
      <c r="CB34" s="1001"/>
      <c r="CC34" s="1001"/>
      <c r="CD34" s="1001"/>
      <c r="CE34" s="1001"/>
      <c r="CF34" s="1001"/>
      <c r="CG34" s="1001"/>
      <c r="CH34" s="1001"/>
      <c r="CI34" s="1001"/>
      <c r="CJ34" s="1001"/>
      <c r="CK34" s="1001"/>
      <c r="CL34" s="1001"/>
      <c r="CM34" s="1001"/>
      <c r="CN34" s="954" t="s">
        <v>160</v>
      </c>
      <c r="CO34" s="955"/>
      <c r="CP34" s="955"/>
      <c r="CQ34" s="955"/>
      <c r="CR34" s="955"/>
      <c r="CS34" s="955"/>
      <c r="CT34" s="955"/>
      <c r="CU34" s="956"/>
      <c r="CV34" s="430" t="s">
        <v>164</v>
      </c>
      <c r="CW34" s="430" t="s">
        <v>26</v>
      </c>
      <c r="CX34" s="572">
        <v>0</v>
      </c>
      <c r="CY34" s="431">
        <v>0</v>
      </c>
      <c r="CZ34" s="431">
        <v>0</v>
      </c>
      <c r="DA34" s="454">
        <v>0</v>
      </c>
    </row>
    <row r="35" spans="1:105" customFormat="1" ht="33.75" customHeight="1">
      <c r="A35" s="938" t="s">
        <v>163</v>
      </c>
      <c r="B35" s="939"/>
      <c r="C35" s="939"/>
      <c r="D35" s="939"/>
      <c r="E35" s="939"/>
      <c r="F35" s="939"/>
      <c r="G35" s="939"/>
      <c r="H35" s="940"/>
      <c r="I35" s="1000" t="s">
        <v>159</v>
      </c>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1"/>
      <c r="AP35" s="1001"/>
      <c r="AQ35" s="1001"/>
      <c r="AR35" s="1001"/>
      <c r="AS35" s="1001"/>
      <c r="AT35" s="1001"/>
      <c r="AU35" s="1001"/>
      <c r="AV35" s="1001"/>
      <c r="AW35" s="1001"/>
      <c r="AX35" s="1001"/>
      <c r="AY35" s="1001"/>
      <c r="AZ35" s="1001"/>
      <c r="BA35" s="1001"/>
      <c r="BB35" s="1001"/>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1001"/>
      <c r="BX35" s="1001"/>
      <c r="BY35" s="1001"/>
      <c r="BZ35" s="1001"/>
      <c r="CA35" s="1001"/>
      <c r="CB35" s="1001"/>
      <c r="CC35" s="1001"/>
      <c r="CD35" s="1001"/>
      <c r="CE35" s="1001"/>
      <c r="CF35" s="1001"/>
      <c r="CG35" s="1001"/>
      <c r="CH35" s="1001"/>
      <c r="CI35" s="1001"/>
      <c r="CJ35" s="1001"/>
      <c r="CK35" s="1001"/>
      <c r="CL35" s="1001"/>
      <c r="CM35" s="1001"/>
      <c r="CN35" s="954" t="s">
        <v>160</v>
      </c>
      <c r="CO35" s="955"/>
      <c r="CP35" s="955"/>
      <c r="CQ35" s="955"/>
      <c r="CR35" s="955"/>
      <c r="CS35" s="955"/>
      <c r="CT35" s="955"/>
      <c r="CU35" s="956"/>
      <c r="CV35" s="430" t="s">
        <v>207</v>
      </c>
      <c r="CW35" s="430" t="s">
        <v>26</v>
      </c>
      <c r="CX35" s="572">
        <v>0</v>
      </c>
      <c r="CY35" s="431">
        <v>0</v>
      </c>
      <c r="CZ35" s="431">
        <v>0</v>
      </c>
      <c r="DA35" s="454">
        <v>0</v>
      </c>
    </row>
    <row r="36" spans="1:105" ht="90" customHeight="1">
      <c r="A36" s="994">
        <v>3</v>
      </c>
      <c r="B36" s="994"/>
      <c r="C36" s="994"/>
      <c r="D36" s="994"/>
      <c r="E36" s="994"/>
      <c r="F36" s="994"/>
      <c r="G36" s="994"/>
      <c r="H36" s="994"/>
      <c r="I36" s="995" t="s">
        <v>165</v>
      </c>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6"/>
      <c r="AY36" s="996"/>
      <c r="AZ36" s="996"/>
      <c r="BA36" s="996"/>
      <c r="BB36" s="996"/>
      <c r="BC36" s="996"/>
      <c r="BD36" s="996"/>
      <c r="BE36" s="996"/>
      <c r="BF36" s="996"/>
      <c r="BG36" s="996"/>
      <c r="BH36" s="996"/>
      <c r="BI36" s="996"/>
      <c r="BJ36" s="996"/>
      <c r="BK36" s="996"/>
      <c r="BL36" s="996"/>
      <c r="BM36" s="996"/>
      <c r="BN36" s="996"/>
      <c r="BO36" s="996"/>
      <c r="BP36" s="996"/>
      <c r="BQ36" s="996"/>
      <c r="BR36" s="996"/>
      <c r="BS36" s="996"/>
      <c r="BT36" s="996"/>
      <c r="BU36" s="996"/>
      <c r="BV36" s="996"/>
      <c r="BW36" s="996"/>
      <c r="BX36" s="996"/>
      <c r="BY36" s="996"/>
      <c r="BZ36" s="996"/>
      <c r="CA36" s="996"/>
      <c r="CB36" s="996"/>
      <c r="CC36" s="996"/>
      <c r="CD36" s="996"/>
      <c r="CE36" s="996"/>
      <c r="CF36" s="996"/>
      <c r="CG36" s="996"/>
      <c r="CH36" s="996"/>
      <c r="CI36" s="996"/>
      <c r="CJ36" s="996"/>
      <c r="CK36" s="996"/>
      <c r="CL36" s="996"/>
      <c r="CM36" s="996"/>
      <c r="CN36" s="997" t="s">
        <v>166</v>
      </c>
      <c r="CO36" s="998"/>
      <c r="CP36" s="998"/>
      <c r="CQ36" s="998"/>
      <c r="CR36" s="998"/>
      <c r="CS36" s="998"/>
      <c r="CT36" s="998"/>
      <c r="CU36" s="999"/>
      <c r="CV36" s="432" t="s">
        <v>157</v>
      </c>
      <c r="CW36" s="432" t="s">
        <v>26</v>
      </c>
      <c r="CX36" s="573">
        <f>CX37</f>
        <v>24693447.789999999</v>
      </c>
      <c r="CY36" s="433">
        <f>CY38</f>
        <v>22908114.390000001</v>
      </c>
      <c r="CZ36" s="433">
        <f>CZ39</f>
        <v>15133385.050000001</v>
      </c>
      <c r="DA36" s="455">
        <v>0</v>
      </c>
    </row>
    <row r="37" spans="1:105" ht="30.75" customHeight="1">
      <c r="A37" s="1002" t="s">
        <v>167</v>
      </c>
      <c r="B37" s="1002"/>
      <c r="C37" s="1002"/>
      <c r="D37" s="1002"/>
      <c r="E37" s="1002"/>
      <c r="F37" s="1002"/>
      <c r="G37" s="1002"/>
      <c r="H37" s="1002"/>
      <c r="I37" s="1003" t="s">
        <v>159</v>
      </c>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4"/>
      <c r="AX37" s="1004"/>
      <c r="AY37" s="1004"/>
      <c r="AZ37" s="1004"/>
      <c r="BA37" s="1004"/>
      <c r="BB37" s="1004"/>
      <c r="BC37" s="1004"/>
      <c r="BD37" s="1004"/>
      <c r="BE37" s="1004"/>
      <c r="BF37" s="1004"/>
      <c r="BG37" s="1004"/>
      <c r="BH37" s="1004"/>
      <c r="BI37" s="1004"/>
      <c r="BJ37" s="1004"/>
      <c r="BK37" s="1004"/>
      <c r="BL37" s="1004"/>
      <c r="BM37" s="1004"/>
      <c r="BN37" s="1004"/>
      <c r="BO37" s="1004"/>
      <c r="BP37" s="1004"/>
      <c r="BQ37" s="1004"/>
      <c r="BR37" s="1004"/>
      <c r="BS37" s="1004"/>
      <c r="BT37" s="1004"/>
      <c r="BU37" s="1004"/>
      <c r="BV37" s="1004"/>
      <c r="BW37" s="1004"/>
      <c r="BX37" s="1004"/>
      <c r="BY37" s="1004"/>
      <c r="BZ37" s="1004"/>
      <c r="CA37" s="1004"/>
      <c r="CB37" s="1004"/>
      <c r="CC37" s="1004"/>
      <c r="CD37" s="1004"/>
      <c r="CE37" s="1004"/>
      <c r="CF37" s="1004"/>
      <c r="CG37" s="1004"/>
      <c r="CH37" s="1004"/>
      <c r="CI37" s="1004"/>
      <c r="CJ37" s="1004"/>
      <c r="CK37" s="1004"/>
      <c r="CL37" s="1004"/>
      <c r="CM37" s="1004"/>
      <c r="CN37" s="1005" t="s">
        <v>168</v>
      </c>
      <c r="CO37" s="1006"/>
      <c r="CP37" s="1006"/>
      <c r="CQ37" s="1006"/>
      <c r="CR37" s="1006"/>
      <c r="CS37" s="1006"/>
      <c r="CT37" s="1006"/>
      <c r="CU37" s="1007"/>
      <c r="CV37" s="434" t="s">
        <v>164</v>
      </c>
      <c r="CW37" s="434" t="s">
        <v>26</v>
      </c>
      <c r="CX37" s="574">
        <f>CX15</f>
        <v>24693447.789999999</v>
      </c>
      <c r="CY37" s="435">
        <v>0</v>
      </c>
      <c r="CZ37" s="435">
        <v>0</v>
      </c>
      <c r="DA37" s="456">
        <v>0</v>
      </c>
    </row>
    <row r="38" spans="1:105" ht="30.75" customHeight="1">
      <c r="A38" s="1002" t="s">
        <v>169</v>
      </c>
      <c r="B38" s="1002"/>
      <c r="C38" s="1002"/>
      <c r="D38" s="1002"/>
      <c r="E38" s="1002"/>
      <c r="F38" s="1002"/>
      <c r="G38" s="1002"/>
      <c r="H38" s="1002"/>
      <c r="I38" s="1003" t="s">
        <v>159</v>
      </c>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1004"/>
      <c r="AZ38" s="1004"/>
      <c r="BA38" s="1004"/>
      <c r="BB38" s="1004"/>
      <c r="BC38" s="1004"/>
      <c r="BD38" s="1004"/>
      <c r="BE38" s="1004"/>
      <c r="BF38" s="1004"/>
      <c r="BG38" s="1004"/>
      <c r="BH38" s="1004"/>
      <c r="BI38" s="1004"/>
      <c r="BJ38" s="1004"/>
      <c r="BK38" s="1004"/>
      <c r="BL38" s="1004"/>
      <c r="BM38" s="1004"/>
      <c r="BN38" s="1004"/>
      <c r="BO38" s="1004"/>
      <c r="BP38" s="1004"/>
      <c r="BQ38" s="1004"/>
      <c r="BR38" s="1004"/>
      <c r="BS38" s="1004"/>
      <c r="BT38" s="1004"/>
      <c r="BU38" s="1004"/>
      <c r="BV38" s="1004"/>
      <c r="BW38" s="1004"/>
      <c r="BX38" s="1004"/>
      <c r="BY38" s="1004"/>
      <c r="BZ38" s="1004"/>
      <c r="CA38" s="1004"/>
      <c r="CB38" s="1004"/>
      <c r="CC38" s="1004"/>
      <c r="CD38" s="1004"/>
      <c r="CE38" s="1004"/>
      <c r="CF38" s="1004"/>
      <c r="CG38" s="1004"/>
      <c r="CH38" s="1004"/>
      <c r="CI38" s="1004"/>
      <c r="CJ38" s="1004"/>
      <c r="CK38" s="1004"/>
      <c r="CL38" s="1004"/>
      <c r="CM38" s="1004"/>
      <c r="CN38" s="1005" t="s">
        <v>168</v>
      </c>
      <c r="CO38" s="1006"/>
      <c r="CP38" s="1006"/>
      <c r="CQ38" s="1006"/>
      <c r="CR38" s="1006"/>
      <c r="CS38" s="1006"/>
      <c r="CT38" s="1006"/>
      <c r="CU38" s="1007"/>
      <c r="CV38" s="434" t="s">
        <v>207</v>
      </c>
      <c r="CW38" s="434" t="s">
        <v>26</v>
      </c>
      <c r="CX38" s="574">
        <v>0</v>
      </c>
      <c r="CY38" s="435">
        <v>22908114.390000001</v>
      </c>
      <c r="CZ38" s="435">
        <v>0</v>
      </c>
      <c r="DA38" s="456">
        <v>0</v>
      </c>
    </row>
    <row r="39" spans="1:105" ht="30.75" customHeight="1">
      <c r="A39" s="1002" t="s">
        <v>170</v>
      </c>
      <c r="B39" s="1002"/>
      <c r="C39" s="1002"/>
      <c r="D39" s="1002"/>
      <c r="E39" s="1002"/>
      <c r="F39" s="1002"/>
      <c r="G39" s="1002"/>
      <c r="H39" s="1002"/>
      <c r="I39" s="1003" t="s">
        <v>159</v>
      </c>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4"/>
      <c r="AX39" s="1004"/>
      <c r="AY39" s="1004"/>
      <c r="AZ39" s="1004"/>
      <c r="BA39" s="1004"/>
      <c r="BB39" s="1004"/>
      <c r="BC39" s="1004"/>
      <c r="BD39" s="1004"/>
      <c r="BE39" s="1004"/>
      <c r="BF39" s="1004"/>
      <c r="BG39" s="1004"/>
      <c r="BH39" s="1004"/>
      <c r="BI39" s="1004"/>
      <c r="BJ39" s="1004"/>
      <c r="BK39" s="1004"/>
      <c r="BL39" s="1004"/>
      <c r="BM39" s="1004"/>
      <c r="BN39" s="1004"/>
      <c r="BO39" s="1004"/>
      <c r="BP39" s="1004"/>
      <c r="BQ39" s="1004"/>
      <c r="BR39" s="1004"/>
      <c r="BS39" s="1004"/>
      <c r="BT39" s="1004"/>
      <c r="BU39" s="1004"/>
      <c r="BV39" s="1004"/>
      <c r="BW39" s="1004"/>
      <c r="BX39" s="1004"/>
      <c r="BY39" s="1004"/>
      <c r="BZ39" s="1004"/>
      <c r="CA39" s="1004"/>
      <c r="CB39" s="1004"/>
      <c r="CC39" s="1004"/>
      <c r="CD39" s="1004"/>
      <c r="CE39" s="1004"/>
      <c r="CF39" s="1004"/>
      <c r="CG39" s="1004"/>
      <c r="CH39" s="1004"/>
      <c r="CI39" s="1004"/>
      <c r="CJ39" s="1004"/>
      <c r="CK39" s="1004"/>
      <c r="CL39" s="1004"/>
      <c r="CM39" s="1004"/>
      <c r="CN39" s="1005" t="s">
        <v>168</v>
      </c>
      <c r="CO39" s="1006"/>
      <c r="CP39" s="1006"/>
      <c r="CQ39" s="1006"/>
      <c r="CR39" s="1006"/>
      <c r="CS39" s="1006"/>
      <c r="CT39" s="1006"/>
      <c r="CU39" s="1007"/>
      <c r="CV39" s="434" t="s">
        <v>619</v>
      </c>
      <c r="CW39" s="434" t="s">
        <v>26</v>
      </c>
      <c r="CX39" s="574">
        <v>0</v>
      </c>
      <c r="CY39" s="435">
        <v>0</v>
      </c>
      <c r="CZ39" s="435">
        <v>15133385.050000001</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1008"/>
      <c r="AR42" s="1008"/>
      <c r="AS42" s="1008"/>
      <c r="AT42" s="1008"/>
      <c r="AU42" s="1008"/>
      <c r="AV42" s="1008"/>
      <c r="AW42" s="1008"/>
      <c r="AX42" s="1008"/>
      <c r="AY42" s="1008"/>
      <c r="AZ42" s="1008"/>
      <c r="BA42" s="1008"/>
      <c r="BB42" s="1008"/>
      <c r="BC42" s="1008"/>
      <c r="BD42" s="1008"/>
      <c r="BE42" s="1008"/>
      <c r="BF42" s="1008"/>
      <c r="BG42" s="1008"/>
      <c r="BH42" s="1008"/>
      <c r="BK42" s="1008"/>
      <c r="BL42" s="1008"/>
      <c r="BM42" s="1008"/>
      <c r="BN42" s="1008"/>
      <c r="BO42" s="1008"/>
      <c r="BP42" s="1008"/>
      <c r="BQ42" s="1008"/>
      <c r="BR42" s="1008"/>
      <c r="BS42" s="1008"/>
      <c r="BT42" s="1008"/>
      <c r="BU42" s="1008"/>
      <c r="BV42" s="1008"/>
      <c r="BY42" s="1008"/>
      <c r="BZ42" s="1008"/>
      <c r="CA42" s="1008"/>
      <c r="CB42" s="1008"/>
      <c r="CC42" s="1008"/>
      <c r="CD42" s="1008"/>
      <c r="CE42" s="1008"/>
      <c r="CF42" s="1008"/>
      <c r="CG42" s="1008"/>
      <c r="CH42" s="1008"/>
      <c r="CI42" s="1008"/>
      <c r="CJ42" s="1008"/>
      <c r="CK42" s="1008"/>
      <c r="CL42" s="1008"/>
      <c r="CM42" s="1008"/>
      <c r="CN42" s="1008"/>
      <c r="CO42" s="1008"/>
      <c r="CP42" s="1008"/>
      <c r="CQ42" s="1008"/>
      <c r="CR42" s="1008"/>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1009"/>
      <c r="AR43" s="1009"/>
      <c r="AS43" s="1009"/>
      <c r="AT43" s="1009"/>
      <c r="AU43" s="1009"/>
      <c r="AV43" s="1009"/>
      <c r="AW43" s="1009"/>
      <c r="AX43" s="1009"/>
      <c r="AY43" s="1009"/>
      <c r="AZ43" s="1009"/>
      <c r="BA43" s="1009"/>
      <c r="BB43" s="1009"/>
      <c r="BC43" s="1009"/>
      <c r="BD43" s="1009"/>
      <c r="BE43" s="1009"/>
      <c r="BF43" s="1009"/>
      <c r="BG43" s="1009"/>
      <c r="BH43" s="1009"/>
      <c r="BI43" s="248"/>
      <c r="BJ43" s="248"/>
      <c r="BK43" s="1009"/>
      <c r="BL43" s="1009"/>
      <c r="BM43" s="1009"/>
      <c r="BN43" s="1009"/>
      <c r="BO43" s="1009"/>
      <c r="BP43" s="1009"/>
      <c r="BQ43" s="1009"/>
      <c r="BR43" s="1009"/>
      <c r="BS43" s="1009"/>
      <c r="BT43" s="1009"/>
      <c r="BU43" s="1009"/>
      <c r="BV43" s="1009"/>
      <c r="BW43" s="248"/>
      <c r="BX43" s="248"/>
      <c r="BY43" s="1009"/>
      <c r="BZ43" s="1009"/>
      <c r="CA43" s="1009"/>
      <c r="CB43" s="1009"/>
      <c r="CC43" s="1009"/>
      <c r="CD43" s="1009"/>
      <c r="CE43" s="1009"/>
      <c r="CF43" s="1009"/>
      <c r="CG43" s="1009"/>
      <c r="CH43" s="1009"/>
      <c r="CI43" s="1009"/>
      <c r="CJ43" s="1009"/>
      <c r="CK43" s="1009"/>
      <c r="CL43" s="1009"/>
      <c r="CM43" s="1009"/>
      <c r="CN43" s="1009"/>
      <c r="CO43" s="1009"/>
      <c r="CP43" s="1009"/>
      <c r="CQ43" s="1009"/>
      <c r="CR43" s="1009"/>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171</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1010" t="s">
        <v>950</v>
      </c>
      <c r="AN45" s="1011"/>
      <c r="AO45" s="1011"/>
      <c r="AP45" s="1011"/>
      <c r="AQ45" s="1011"/>
      <c r="AR45" s="1011"/>
      <c r="AS45" s="1011"/>
      <c r="AT45" s="1011"/>
      <c r="AU45" s="1011"/>
      <c r="AV45" s="1011"/>
      <c r="AW45" s="1011"/>
      <c r="AX45" s="1011"/>
      <c r="AY45" s="1011"/>
      <c r="AZ45" s="1011"/>
      <c r="BA45" s="1011"/>
      <c r="BB45" s="1011"/>
      <c r="BC45" s="1011"/>
      <c r="BD45" s="1011"/>
      <c r="BE45" s="408"/>
      <c r="BF45" s="408"/>
      <c r="BG45" s="1011" t="s">
        <v>951</v>
      </c>
      <c r="BH45" s="1011"/>
      <c r="BI45" s="1011"/>
      <c r="BJ45" s="1011"/>
      <c r="BK45" s="1011"/>
      <c r="BL45" s="1011"/>
      <c r="BM45" s="1011"/>
      <c r="BN45" s="1011"/>
      <c r="BO45" s="1011"/>
      <c r="BP45" s="1011"/>
      <c r="BQ45" s="1011"/>
      <c r="BR45" s="1011"/>
      <c r="BS45" s="1011"/>
      <c r="BT45" s="1011"/>
      <c r="BU45" s="1011"/>
      <c r="BV45" s="1011"/>
      <c r="BW45" s="1011"/>
      <c r="BX45" s="1011"/>
      <c r="BY45" s="408"/>
      <c r="BZ45" s="408"/>
      <c r="CA45" s="1012" t="s">
        <v>208</v>
      </c>
      <c r="CB45" s="1012"/>
      <c r="CC45" s="1012"/>
      <c r="CD45" s="1012"/>
      <c r="CE45" s="1012"/>
      <c r="CF45" s="1012"/>
      <c r="CG45" s="1012"/>
      <c r="CH45" s="1012"/>
      <c r="CI45" s="1012"/>
      <c r="CJ45" s="1012"/>
      <c r="CK45" s="1012"/>
      <c r="CL45" s="1012"/>
      <c r="CM45" s="1012"/>
      <c r="CN45" s="1012"/>
      <c r="CO45" s="1012"/>
      <c r="CP45" s="1012"/>
      <c r="CQ45" s="1012"/>
      <c r="CR45" s="1012"/>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1013" t="s">
        <v>172</v>
      </c>
      <c r="AN46" s="1013"/>
      <c r="AO46" s="1013"/>
      <c r="AP46" s="1013"/>
      <c r="AQ46" s="1013"/>
      <c r="AR46" s="1013"/>
      <c r="AS46" s="1013"/>
      <c r="AT46" s="1013"/>
      <c r="AU46" s="1013"/>
      <c r="AV46" s="1013"/>
      <c r="AW46" s="1013"/>
      <c r="AX46" s="1013"/>
      <c r="AY46" s="1013"/>
      <c r="AZ46" s="1013"/>
      <c r="BA46" s="1013"/>
      <c r="BB46" s="1013"/>
      <c r="BC46" s="1013"/>
      <c r="BD46" s="1013"/>
      <c r="BE46" s="408"/>
      <c r="BF46" s="408"/>
      <c r="BG46" s="1013" t="s">
        <v>173</v>
      </c>
      <c r="BH46" s="1013"/>
      <c r="BI46" s="1013"/>
      <c r="BJ46" s="1013"/>
      <c r="BK46" s="1013"/>
      <c r="BL46" s="1013"/>
      <c r="BM46" s="1013"/>
      <c r="BN46" s="1013"/>
      <c r="BO46" s="1013"/>
      <c r="BP46" s="1013"/>
      <c r="BQ46" s="1013"/>
      <c r="BR46" s="1013"/>
      <c r="BS46" s="1013"/>
      <c r="BT46" s="1013"/>
      <c r="BU46" s="1013"/>
      <c r="BV46" s="1013"/>
      <c r="BW46" s="1013"/>
      <c r="BX46" s="1013"/>
      <c r="BY46" s="408"/>
      <c r="BZ46" s="408"/>
      <c r="CA46" s="1013" t="s">
        <v>174</v>
      </c>
      <c r="CB46" s="1013"/>
      <c r="CC46" s="1013"/>
      <c r="CD46" s="1013"/>
      <c r="CE46" s="1013"/>
      <c r="CF46" s="1013"/>
      <c r="CG46" s="1013"/>
      <c r="CH46" s="1013"/>
      <c r="CI46" s="1013"/>
      <c r="CJ46" s="1013"/>
      <c r="CK46" s="1013"/>
      <c r="CL46" s="1013"/>
      <c r="CM46" s="1013"/>
      <c r="CN46" s="1013"/>
      <c r="CO46" s="1013"/>
      <c r="CP46" s="1013"/>
      <c r="CQ46" s="1013"/>
      <c r="CR46" s="1013"/>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526</v>
      </c>
      <c r="G48" s="410"/>
      <c r="H48" s="410"/>
      <c r="I48" s="1022" t="s">
        <v>175</v>
      </c>
      <c r="J48" s="1022"/>
      <c r="K48" s="1023"/>
      <c r="L48" s="1023"/>
      <c r="M48" s="1023"/>
      <c r="N48" s="1024" t="s">
        <v>175</v>
      </c>
      <c r="O48" s="1024"/>
      <c r="P48" s="410"/>
      <c r="Q48" s="1025"/>
      <c r="R48" s="1025"/>
      <c r="S48" s="1025"/>
      <c r="T48" s="1025"/>
      <c r="U48" s="1025"/>
      <c r="V48" s="1025"/>
      <c r="W48" s="1025"/>
      <c r="X48" s="1025"/>
      <c r="Y48" s="1025"/>
      <c r="Z48" s="1025"/>
      <c r="AA48" s="1025"/>
      <c r="AB48" s="1025"/>
      <c r="AC48" s="1025"/>
      <c r="AD48" s="1025"/>
      <c r="AE48" s="1025"/>
      <c r="AF48" s="413"/>
      <c r="AG48" s="1026">
        <v>2022</v>
      </c>
      <c r="AH48" s="1027"/>
      <c r="AI48" s="1027"/>
      <c r="AJ48" s="1027"/>
      <c r="AK48" s="1027"/>
      <c r="AL48" s="414" t="s">
        <v>176</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177</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1028" t="s">
        <v>955</v>
      </c>
      <c r="B52" s="1029"/>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1029"/>
      <c r="AY52" s="1029"/>
      <c r="AZ52" s="1029"/>
      <c r="BA52" s="1029"/>
      <c r="BB52" s="1029"/>
      <c r="BC52" s="1029"/>
      <c r="BD52" s="1029"/>
      <c r="BE52" s="1029"/>
      <c r="BF52" s="1029"/>
      <c r="BG52" s="1029"/>
      <c r="BH52" s="1029"/>
      <c r="BI52" s="1029"/>
      <c r="BJ52" s="1029"/>
      <c r="BK52" s="1029"/>
      <c r="BL52" s="1029"/>
      <c r="BM52" s="1029"/>
      <c r="BN52" s="1029"/>
      <c r="BO52" s="1029"/>
      <c r="BP52" s="1029"/>
      <c r="BQ52" s="1029"/>
      <c r="BR52" s="1029"/>
      <c r="BS52" s="1029"/>
      <c r="BT52" s="1029"/>
      <c r="BU52" s="1029"/>
      <c r="BV52" s="1029"/>
      <c r="BW52" s="1029"/>
      <c r="BX52" s="1029"/>
      <c r="BY52" s="1029"/>
      <c r="BZ52" s="1029"/>
      <c r="CA52" s="1029"/>
      <c r="CB52" s="1029"/>
      <c r="CC52" s="1029"/>
      <c r="CD52" s="1029"/>
      <c r="CE52" s="1029"/>
      <c r="CF52" s="1029"/>
      <c r="CG52" s="1029"/>
      <c r="CH52" s="1029"/>
      <c r="CI52" s="1029"/>
      <c r="CJ52" s="1029"/>
      <c r="CK52" s="1029"/>
      <c r="CL52" s="1029"/>
      <c r="CM52" s="1030"/>
      <c r="CN52" s="408"/>
      <c r="CO52" s="408"/>
      <c r="CP52" s="408"/>
      <c r="CQ52" s="408"/>
      <c r="CR52" s="408"/>
      <c r="CS52" s="408"/>
      <c r="CT52" s="408"/>
      <c r="CU52" s="408"/>
      <c r="CV52" s="408"/>
      <c r="CW52" s="408"/>
      <c r="CX52" s="575"/>
      <c r="CY52" s="408"/>
      <c r="CZ52" s="408"/>
      <c r="DA52" s="408"/>
    </row>
    <row r="53" spans="1:105" s="51" customFormat="1" ht="15.75">
      <c r="A53" s="1014" t="s">
        <v>527</v>
      </c>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3"/>
      <c r="AR53" s="1013"/>
      <c r="AS53" s="1013"/>
      <c r="AT53" s="1013"/>
      <c r="AU53" s="1013"/>
      <c r="AV53" s="1013"/>
      <c r="AW53" s="1013"/>
      <c r="AX53" s="1013"/>
      <c r="AY53" s="1013"/>
      <c r="AZ53" s="1013"/>
      <c r="BA53" s="1013"/>
      <c r="BB53" s="1013"/>
      <c r="BC53" s="1013"/>
      <c r="BD53" s="1013"/>
      <c r="BE53" s="1013"/>
      <c r="BF53" s="1013"/>
      <c r="BG53" s="1013"/>
      <c r="BH53" s="1013"/>
      <c r="BI53" s="1013"/>
      <c r="BJ53" s="1013"/>
      <c r="BK53" s="1013"/>
      <c r="BL53" s="1013"/>
      <c r="BM53" s="1013"/>
      <c r="BN53" s="1013"/>
      <c r="BO53" s="1013"/>
      <c r="BP53" s="1013"/>
      <c r="BQ53" s="1013"/>
      <c r="BR53" s="1013"/>
      <c r="BS53" s="1013"/>
      <c r="BT53" s="1013"/>
      <c r="BU53" s="1013"/>
      <c r="BV53" s="1013"/>
      <c r="BW53" s="1013"/>
      <c r="BX53" s="1013"/>
      <c r="BY53" s="1013"/>
      <c r="BZ53" s="1013"/>
      <c r="CA53" s="1013"/>
      <c r="CB53" s="1013"/>
      <c r="CC53" s="1013"/>
      <c r="CD53" s="1013"/>
      <c r="CE53" s="1013"/>
      <c r="CF53" s="1013"/>
      <c r="CG53" s="1013"/>
      <c r="CH53" s="1013"/>
      <c r="CI53" s="1013"/>
      <c r="CJ53" s="1013"/>
      <c r="CK53" s="1013"/>
      <c r="CL53" s="1013"/>
      <c r="CM53" s="1015"/>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1031"/>
      <c r="B55" s="1011"/>
      <c r="C55" s="1011"/>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1"/>
      <c r="Z55" s="408"/>
      <c r="AA55" s="408"/>
      <c r="AB55" s="408"/>
      <c r="AC55" s="408"/>
      <c r="AD55" s="408"/>
      <c r="AE55" s="408"/>
      <c r="AF55" s="408"/>
      <c r="AG55" s="408"/>
      <c r="AH55" s="1032" t="s">
        <v>956</v>
      </c>
      <c r="AI55" s="1032"/>
      <c r="AJ55" s="1032"/>
      <c r="AK55" s="1032"/>
      <c r="AL55" s="1032"/>
      <c r="AM55" s="1032"/>
      <c r="AN55" s="1032"/>
      <c r="AO55" s="1032"/>
      <c r="AP55" s="1032"/>
      <c r="AQ55" s="1032"/>
      <c r="AR55" s="1032"/>
      <c r="AS55" s="1032"/>
      <c r="AT55" s="1032"/>
      <c r="AU55" s="1032"/>
      <c r="AV55" s="1032"/>
      <c r="AW55" s="1032"/>
      <c r="AX55" s="1032"/>
      <c r="AY55" s="1032"/>
      <c r="AZ55" s="1032"/>
      <c r="BA55" s="1032"/>
      <c r="BB55" s="1032"/>
      <c r="BC55" s="1032"/>
      <c r="BD55" s="1032"/>
      <c r="BE55" s="1032"/>
      <c r="BF55" s="1032"/>
      <c r="BG55" s="1032"/>
      <c r="BH55" s="1032"/>
      <c r="BI55" s="1032"/>
      <c r="BJ55" s="1032"/>
      <c r="BK55" s="1032"/>
      <c r="BL55" s="1032"/>
      <c r="BM55" s="1032"/>
      <c r="BN55" s="1032"/>
      <c r="BO55" s="1032"/>
      <c r="BP55" s="1032"/>
      <c r="BQ55" s="1032"/>
      <c r="BR55" s="1032"/>
      <c r="BS55" s="1032"/>
      <c r="BT55" s="1032"/>
      <c r="BU55" s="1032"/>
      <c r="BV55" s="1032"/>
      <c r="BW55" s="1032"/>
      <c r="BX55" s="1032"/>
      <c r="BY55" s="1032"/>
      <c r="BZ55" s="1032"/>
      <c r="CA55" s="1032"/>
      <c r="CB55" s="1032"/>
      <c r="CC55" s="1032"/>
      <c r="CD55" s="1032"/>
      <c r="CE55" s="1032"/>
      <c r="CF55" s="1032"/>
      <c r="CG55" s="1032"/>
      <c r="CH55" s="1032"/>
      <c r="CI55" s="1032"/>
      <c r="CJ55" s="1032"/>
      <c r="CK55" s="1032"/>
      <c r="CL55" s="1032"/>
      <c r="CM55" s="1033"/>
      <c r="CN55" s="408"/>
      <c r="CO55" s="408"/>
      <c r="CP55" s="408"/>
      <c r="CQ55" s="408"/>
      <c r="CR55" s="408"/>
      <c r="CS55" s="408"/>
      <c r="CT55" s="408"/>
      <c r="CU55" s="408"/>
      <c r="CV55" s="408"/>
      <c r="CW55" s="408"/>
      <c r="CX55" s="575"/>
      <c r="CY55" s="408"/>
      <c r="CZ55" s="408"/>
      <c r="DA55" s="408"/>
    </row>
    <row r="56" spans="1:105" s="51" customFormat="1" ht="15.75">
      <c r="A56" s="1014" t="s">
        <v>178</v>
      </c>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408"/>
      <c r="AA56" s="408"/>
      <c r="AB56" s="408"/>
      <c r="AC56" s="408"/>
      <c r="AD56" s="408"/>
      <c r="AE56" s="408"/>
      <c r="AF56" s="408"/>
      <c r="AG56" s="408"/>
      <c r="AH56" s="1013" t="s">
        <v>117</v>
      </c>
      <c r="AI56" s="1013"/>
      <c r="AJ56" s="1013"/>
      <c r="AK56" s="1013"/>
      <c r="AL56" s="1013"/>
      <c r="AM56" s="1013"/>
      <c r="AN56" s="1013"/>
      <c r="AO56" s="1013"/>
      <c r="AP56" s="1013"/>
      <c r="AQ56" s="1013"/>
      <c r="AR56" s="1013"/>
      <c r="AS56" s="1013"/>
      <c r="AT56" s="1013"/>
      <c r="AU56" s="1013"/>
      <c r="AV56" s="1013"/>
      <c r="AW56" s="1013"/>
      <c r="AX56" s="1013"/>
      <c r="AY56" s="1013"/>
      <c r="AZ56" s="1013"/>
      <c r="BA56" s="1013"/>
      <c r="BB56" s="1013"/>
      <c r="BC56" s="1013"/>
      <c r="BD56" s="1013"/>
      <c r="BE56" s="1013"/>
      <c r="BF56" s="1013"/>
      <c r="BG56" s="1013"/>
      <c r="BH56" s="1013"/>
      <c r="BI56" s="1013"/>
      <c r="BJ56" s="1013"/>
      <c r="BK56" s="1013"/>
      <c r="BL56" s="1013"/>
      <c r="BM56" s="1013"/>
      <c r="BN56" s="1013"/>
      <c r="BO56" s="1013"/>
      <c r="BP56" s="1013"/>
      <c r="BQ56" s="1013"/>
      <c r="BR56" s="1013"/>
      <c r="BS56" s="1013"/>
      <c r="BT56" s="1013"/>
      <c r="BU56" s="1013"/>
      <c r="BV56" s="1013"/>
      <c r="BW56" s="1013"/>
      <c r="BX56" s="1013"/>
      <c r="BY56" s="1013"/>
      <c r="BZ56" s="1013"/>
      <c r="CA56" s="1013"/>
      <c r="CB56" s="1013"/>
      <c r="CC56" s="1013"/>
      <c r="CD56" s="1013"/>
      <c r="CE56" s="1013"/>
      <c r="CF56" s="1013"/>
      <c r="CG56" s="1013"/>
      <c r="CH56" s="1013"/>
      <c r="CI56" s="1013"/>
      <c r="CJ56" s="1013"/>
      <c r="CK56" s="1013"/>
      <c r="CL56" s="1013"/>
      <c r="CM56" s="1015"/>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1016" t="s">
        <v>175</v>
      </c>
      <c r="B58" s="1017"/>
      <c r="C58" s="1018"/>
      <c r="D58" s="1018"/>
      <c r="E58" s="1018"/>
      <c r="F58" s="1019" t="s">
        <v>175</v>
      </c>
      <c r="G58" s="1019"/>
      <c r="H58" s="408"/>
      <c r="I58" s="1018"/>
      <c r="J58" s="1018"/>
      <c r="K58" s="1018"/>
      <c r="L58" s="1018"/>
      <c r="M58" s="1018"/>
      <c r="N58" s="1018"/>
      <c r="O58" s="1018"/>
      <c r="P58" s="1018"/>
      <c r="Q58" s="1018"/>
      <c r="R58" s="1018"/>
      <c r="S58" s="1018"/>
      <c r="T58" s="1018"/>
      <c r="U58" s="1018"/>
      <c r="V58" s="1018"/>
      <c r="W58" s="1018"/>
      <c r="X58" s="1020">
        <v>20</v>
      </c>
      <c r="Y58" s="1020"/>
      <c r="Z58" s="1020"/>
      <c r="AA58" s="1021" t="s">
        <v>656</v>
      </c>
      <c r="AB58" s="1021"/>
      <c r="AC58" s="1021"/>
      <c r="AD58" s="436" t="s">
        <v>176</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532</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45" t="s">
        <v>209</v>
      </c>
      <c r="B1" s="1045"/>
      <c r="C1" s="1045"/>
      <c r="D1" s="1045"/>
      <c r="E1" s="1045"/>
      <c r="F1" s="1045"/>
      <c r="G1" s="1045"/>
      <c r="H1" s="1045"/>
      <c r="I1" s="1045"/>
      <c r="J1" s="1045"/>
      <c r="K1" s="1045"/>
      <c r="L1" s="1045"/>
      <c r="M1" s="53"/>
      <c r="N1" s="53"/>
      <c r="O1" s="53"/>
    </row>
    <row r="2" spans="1:15" ht="17.25">
      <c r="A2" s="1045" t="s">
        <v>210</v>
      </c>
      <c r="B2" s="1045"/>
      <c r="C2" s="1045"/>
      <c r="D2" s="1045"/>
      <c r="E2" s="1045"/>
      <c r="F2" s="1045"/>
      <c r="G2" s="1045"/>
      <c r="H2" s="1045"/>
      <c r="I2" s="1045"/>
      <c r="J2" s="1045"/>
      <c r="K2" s="1045"/>
      <c r="L2" s="1045"/>
      <c r="M2" s="1045"/>
      <c r="N2" s="1045"/>
      <c r="O2" s="1045"/>
    </row>
    <row r="4" spans="1:15" ht="15.75">
      <c r="A4" s="54" t="s">
        <v>211</v>
      </c>
    </row>
    <row r="5" spans="1:15" ht="15.75">
      <c r="A5" s="1046" t="s">
        <v>212</v>
      </c>
      <c r="B5" s="1046"/>
      <c r="C5" s="1046"/>
      <c r="D5" s="1046"/>
      <c r="E5" s="1046"/>
      <c r="F5" s="1046"/>
      <c r="G5" s="1046"/>
      <c r="H5" s="1046"/>
      <c r="I5" s="1046"/>
      <c r="J5" s="1046"/>
      <c r="K5" s="1046"/>
      <c r="L5" s="1046"/>
    </row>
    <row r="6" spans="1:15" ht="15.75">
      <c r="A6" s="55" t="s">
        <v>484</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3" t="s">
        <v>213</v>
      </c>
      <c r="B8" s="1043" t="s">
        <v>214</v>
      </c>
      <c r="C8" s="1043" t="s">
        <v>215</v>
      </c>
      <c r="D8" s="1035" t="s">
        <v>562</v>
      </c>
      <c r="E8" s="1035"/>
      <c r="F8" s="1035"/>
      <c r="G8" s="1035" t="s">
        <v>563</v>
      </c>
      <c r="H8" s="1035"/>
      <c r="I8" s="1035"/>
      <c r="J8" s="1035" t="s">
        <v>564</v>
      </c>
      <c r="K8" s="1035"/>
      <c r="L8" s="1035"/>
      <c r="M8" s="56"/>
      <c r="N8" s="56"/>
      <c r="O8" s="56"/>
    </row>
    <row r="9" spans="1:15" ht="63.75">
      <c r="A9" s="1043"/>
      <c r="B9" s="1043"/>
      <c r="C9" s="1043"/>
      <c r="D9" s="57" t="s">
        <v>219</v>
      </c>
      <c r="E9" s="57" t="s">
        <v>220</v>
      </c>
      <c r="F9" s="57" t="s">
        <v>221</v>
      </c>
      <c r="G9" s="57" t="s">
        <v>219</v>
      </c>
      <c r="H9" s="57" t="s">
        <v>220</v>
      </c>
      <c r="I9" s="57" t="s">
        <v>221</v>
      </c>
      <c r="J9" s="57" t="s">
        <v>219</v>
      </c>
      <c r="K9" s="57" t="s">
        <v>220</v>
      </c>
      <c r="L9" s="57" t="s">
        <v>221</v>
      </c>
      <c r="M9" s="58"/>
      <c r="N9" s="58"/>
      <c r="O9" s="58"/>
    </row>
    <row r="10" spans="1:15" s="163" customFormat="1" ht="54.75" customHeight="1">
      <c r="A10" s="171" t="s">
        <v>16</v>
      </c>
      <c r="B10" s="393" t="s">
        <v>604</v>
      </c>
      <c r="C10" s="395" t="s">
        <v>225</v>
      </c>
      <c r="D10" s="396">
        <v>230</v>
      </c>
      <c r="E10" s="397" t="s">
        <v>223</v>
      </c>
      <c r="F10" s="398">
        <v>17709469.079999998</v>
      </c>
      <c r="G10" s="172">
        <v>230</v>
      </c>
      <c r="H10" s="167" t="s">
        <v>223</v>
      </c>
      <c r="I10" s="167">
        <v>14371216.810000001</v>
      </c>
      <c r="J10" s="172">
        <v>230</v>
      </c>
      <c r="K10" s="167" t="s">
        <v>223</v>
      </c>
      <c r="L10" s="167">
        <v>12448407.32</v>
      </c>
      <c r="M10" s="178" t="s">
        <v>480</v>
      </c>
    </row>
    <row r="11" spans="1:15" s="163" customFormat="1" ht="55.5" customHeight="1">
      <c r="A11" s="171" t="s">
        <v>17</v>
      </c>
      <c r="B11" s="393" t="s">
        <v>605</v>
      </c>
      <c r="C11" s="395" t="s">
        <v>225</v>
      </c>
      <c r="D11" s="396">
        <v>147</v>
      </c>
      <c r="E11" s="397" t="s">
        <v>223</v>
      </c>
      <c r="F11" s="398">
        <v>12055738.26</v>
      </c>
      <c r="G11" s="172">
        <v>147</v>
      </c>
      <c r="H11" s="167" t="s">
        <v>223</v>
      </c>
      <c r="I11" s="167">
        <v>9705046.9199999999</v>
      </c>
      <c r="J11" s="172">
        <v>147</v>
      </c>
      <c r="K11" s="167" t="s">
        <v>223</v>
      </c>
      <c r="L11" s="167">
        <v>8790182.3699999992</v>
      </c>
      <c r="M11" s="178" t="s">
        <v>480</v>
      </c>
    </row>
    <row r="12" spans="1:15" s="163" customFormat="1" ht="66.75" customHeight="1">
      <c r="A12" s="171" t="s">
        <v>18</v>
      </c>
      <c r="B12" s="393" t="s">
        <v>609</v>
      </c>
      <c r="C12" s="399" t="s">
        <v>225</v>
      </c>
      <c r="D12" s="396">
        <v>14</v>
      </c>
      <c r="E12" s="397" t="s">
        <v>223</v>
      </c>
      <c r="F12" s="398">
        <v>1302427.43</v>
      </c>
      <c r="G12" s="172">
        <v>14</v>
      </c>
      <c r="H12" s="167" t="s">
        <v>223</v>
      </c>
      <c r="I12" s="167">
        <v>1078053.18</v>
      </c>
      <c r="J12" s="172">
        <v>14</v>
      </c>
      <c r="K12" s="167" t="s">
        <v>223</v>
      </c>
      <c r="L12" s="167">
        <v>968772.36</v>
      </c>
      <c r="M12" s="178" t="s">
        <v>480</v>
      </c>
    </row>
    <row r="13" spans="1:15" s="163" customFormat="1" ht="74.25" customHeight="1">
      <c r="A13" s="171" t="s">
        <v>19</v>
      </c>
      <c r="B13" s="393" t="s">
        <v>610</v>
      </c>
      <c r="C13" s="400" t="s">
        <v>599</v>
      </c>
      <c r="D13" s="396">
        <v>12</v>
      </c>
      <c r="E13" s="397" t="s">
        <v>223</v>
      </c>
      <c r="F13" s="398">
        <v>1269853.54</v>
      </c>
      <c r="G13" s="173">
        <v>12</v>
      </c>
      <c r="H13" s="167" t="s">
        <v>223</v>
      </c>
      <c r="I13" s="167">
        <v>1038608.04</v>
      </c>
      <c r="J13" s="173">
        <v>12</v>
      </c>
      <c r="K13" s="167" t="s">
        <v>223</v>
      </c>
      <c r="L13" s="167">
        <v>948596.84</v>
      </c>
      <c r="M13" s="178" t="s">
        <v>480</v>
      </c>
    </row>
    <row r="14" spans="1:15" s="163" customFormat="1" ht="59.25" customHeight="1">
      <c r="A14" s="171" t="s">
        <v>20</v>
      </c>
      <c r="B14" s="393" t="s">
        <v>611</v>
      </c>
      <c r="C14" s="401" t="s">
        <v>600</v>
      </c>
      <c r="D14" s="396">
        <v>6</v>
      </c>
      <c r="E14" s="397" t="s">
        <v>223</v>
      </c>
      <c r="F14" s="398">
        <v>2230547.09</v>
      </c>
      <c r="G14" s="173">
        <v>6</v>
      </c>
      <c r="H14" s="285" t="s">
        <v>223</v>
      </c>
      <c r="I14" s="285">
        <v>1747510.27</v>
      </c>
      <c r="J14" s="173">
        <v>6</v>
      </c>
      <c r="K14" s="285" t="s">
        <v>223</v>
      </c>
      <c r="L14" s="285">
        <v>1641568.11</v>
      </c>
      <c r="M14" s="178"/>
    </row>
    <row r="15" spans="1:15" s="163" customFormat="1" ht="56.25" customHeight="1">
      <c r="A15" s="171" t="s">
        <v>21</v>
      </c>
      <c r="B15" s="393" t="s">
        <v>606</v>
      </c>
      <c r="C15" s="401" t="s">
        <v>600</v>
      </c>
      <c r="D15" s="396">
        <v>0</v>
      </c>
      <c r="E15" s="397"/>
      <c r="F15" s="398">
        <v>0</v>
      </c>
      <c r="G15" s="169">
        <v>1</v>
      </c>
      <c r="H15" s="167"/>
      <c r="I15" s="167">
        <v>604629.80000000005</v>
      </c>
      <c r="J15" s="169">
        <v>0</v>
      </c>
      <c r="K15" s="167"/>
      <c r="L15" s="167">
        <v>0</v>
      </c>
      <c r="M15" s="178"/>
      <c r="N15" s="178" t="s">
        <v>481</v>
      </c>
      <c r="O15" s="175"/>
    </row>
    <row r="16" spans="1:15" s="163" customFormat="1" ht="57.75" customHeight="1">
      <c r="A16" s="171" t="s">
        <v>22</v>
      </c>
      <c r="B16" s="393" t="s">
        <v>607</v>
      </c>
      <c r="C16" s="401" t="s">
        <v>600</v>
      </c>
      <c r="D16" s="396">
        <v>20</v>
      </c>
      <c r="E16" s="397"/>
      <c r="F16" s="398">
        <v>587384.48</v>
      </c>
      <c r="G16" s="169">
        <v>20</v>
      </c>
      <c r="H16" s="167"/>
      <c r="I16" s="167">
        <v>266664.08</v>
      </c>
      <c r="J16" s="169">
        <v>20</v>
      </c>
      <c r="K16" s="167"/>
      <c r="L16" s="167">
        <v>397859.09</v>
      </c>
      <c r="M16" s="178"/>
      <c r="N16" s="178" t="s">
        <v>481</v>
      </c>
      <c r="O16" s="175"/>
    </row>
    <row r="17" spans="1:15" s="163" customFormat="1" ht="54" customHeight="1">
      <c r="A17" s="171" t="s">
        <v>23</v>
      </c>
      <c r="B17" s="393" t="s">
        <v>608</v>
      </c>
      <c r="C17" s="401" t="s">
        <v>601</v>
      </c>
      <c r="D17" s="396">
        <v>200</v>
      </c>
      <c r="E17" s="397"/>
      <c r="F17" s="398">
        <v>558206.39</v>
      </c>
      <c r="G17" s="169">
        <v>200</v>
      </c>
      <c r="H17" s="167"/>
      <c r="I17" s="167">
        <v>511031.73</v>
      </c>
      <c r="J17" s="169">
        <v>200</v>
      </c>
      <c r="K17" s="167"/>
      <c r="L17" s="167">
        <v>399950.62</v>
      </c>
      <c r="M17" s="178"/>
      <c r="N17" s="178" t="s">
        <v>481</v>
      </c>
      <c r="O17" s="175"/>
    </row>
    <row r="18" spans="1:15" s="163" customFormat="1" ht="57" customHeight="1">
      <c r="A18" s="171" t="s">
        <v>118</v>
      </c>
      <c r="B18" s="393" t="s">
        <v>612</v>
      </c>
      <c r="C18" s="401" t="s">
        <v>602</v>
      </c>
      <c r="D18" s="396">
        <v>4</v>
      </c>
      <c r="E18" s="397"/>
      <c r="F18" s="398">
        <v>28673778.43</v>
      </c>
      <c r="G18" s="169">
        <v>4</v>
      </c>
      <c r="H18" s="167"/>
      <c r="I18" s="167">
        <v>21863742.120000001</v>
      </c>
      <c r="J18" s="169">
        <v>4</v>
      </c>
      <c r="K18" s="167"/>
      <c r="L18" s="167">
        <v>20754414.370000001</v>
      </c>
      <c r="M18" s="178"/>
      <c r="N18" s="178" t="s">
        <v>481</v>
      </c>
      <c r="O18" s="175"/>
    </row>
    <row r="19" spans="1:15" s="163" customFormat="1" ht="25.5">
      <c r="A19" s="171" t="s">
        <v>561</v>
      </c>
      <c r="B19" s="394" t="s">
        <v>598</v>
      </c>
      <c r="C19" s="401" t="s">
        <v>52</v>
      </c>
      <c r="D19" s="396" t="s">
        <v>52</v>
      </c>
      <c r="E19" s="397" t="s">
        <v>223</v>
      </c>
      <c r="F19" s="398">
        <v>0</v>
      </c>
      <c r="G19" s="170" t="s">
        <v>52</v>
      </c>
      <c r="H19" s="179" t="s">
        <v>223</v>
      </c>
      <c r="I19" s="179">
        <v>0</v>
      </c>
      <c r="J19" s="170" t="s">
        <v>52</v>
      </c>
      <c r="K19" s="167" t="s">
        <v>223</v>
      </c>
      <c r="L19" s="167">
        <v>0</v>
      </c>
      <c r="M19" s="178"/>
      <c r="N19" s="178" t="s">
        <v>481</v>
      </c>
      <c r="O19" s="175"/>
    </row>
    <row r="20" spans="1:15" s="163" customFormat="1">
      <c r="A20" s="176"/>
      <c r="B20" s="177" t="s">
        <v>227</v>
      </c>
      <c r="C20" s="404" t="s">
        <v>26</v>
      </c>
      <c r="D20" s="404" t="s">
        <v>26</v>
      </c>
      <c r="E20" s="404" t="s">
        <v>26</v>
      </c>
      <c r="F20" s="402">
        <f>SUM(F10:F19)</f>
        <v>64387404.700000003</v>
      </c>
      <c r="G20" s="404" t="s">
        <v>26</v>
      </c>
      <c r="H20" s="404" t="s">
        <v>26</v>
      </c>
      <c r="I20" s="402">
        <f>SUM(I10:I19)</f>
        <v>51186502.950000003</v>
      </c>
      <c r="J20" s="404" t="s">
        <v>26</v>
      </c>
      <c r="K20" s="405" t="s">
        <v>26</v>
      </c>
      <c r="L20" s="403">
        <f>SUM(L10:L19)</f>
        <v>46349751.079999998</v>
      </c>
    </row>
    <row r="21" spans="1:15" ht="17.25">
      <c r="A21" s="59"/>
    </row>
    <row r="22" spans="1:15" ht="15.75">
      <c r="A22" s="1046" t="s">
        <v>228</v>
      </c>
      <c r="B22" s="1046"/>
      <c r="C22" s="1046"/>
      <c r="D22" s="1046"/>
      <c r="E22" s="1046"/>
      <c r="F22" s="1046"/>
      <c r="G22" s="1046"/>
      <c r="H22" s="1046"/>
      <c r="I22" s="1046"/>
      <c r="J22" s="1046"/>
      <c r="K22" s="1046"/>
      <c r="L22" s="1046"/>
    </row>
    <row r="23" spans="1:15" ht="15.75">
      <c r="A23" s="55" t="s">
        <v>484</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3" t="s">
        <v>213</v>
      </c>
      <c r="B25" s="1043" t="s">
        <v>214</v>
      </c>
      <c r="C25" s="1043" t="s">
        <v>215</v>
      </c>
      <c r="D25" s="1047" t="s">
        <v>562</v>
      </c>
      <c r="E25" s="1048"/>
      <c r="F25" s="1049"/>
      <c r="G25" s="1047" t="s">
        <v>563</v>
      </c>
      <c r="H25" s="1048"/>
      <c r="I25" s="1049"/>
      <c r="J25" s="1047" t="s">
        <v>564</v>
      </c>
      <c r="K25" s="1048"/>
      <c r="L25" s="1049"/>
    </row>
    <row r="26" spans="1:15" ht="63.75">
      <c r="A26" s="1043"/>
      <c r="B26" s="1043"/>
      <c r="C26" s="1043"/>
      <c r="D26" s="57" t="s">
        <v>219</v>
      </c>
      <c r="E26" s="57" t="s">
        <v>220</v>
      </c>
      <c r="F26" s="57" t="s">
        <v>221</v>
      </c>
      <c r="G26" s="57" t="s">
        <v>219</v>
      </c>
      <c r="H26" s="57" t="s">
        <v>220</v>
      </c>
      <c r="I26" s="57" t="s">
        <v>221</v>
      </c>
      <c r="J26" s="57" t="s">
        <v>219</v>
      </c>
      <c r="K26" s="57" t="s">
        <v>220</v>
      </c>
      <c r="L26" s="57" t="s">
        <v>221</v>
      </c>
    </row>
    <row r="27" spans="1:15" s="163" customFormat="1" ht="51">
      <c r="A27" s="165" t="s">
        <v>222</v>
      </c>
      <c r="B27" s="168" t="s">
        <v>604</v>
      </c>
      <c r="C27" s="165" t="s">
        <v>225</v>
      </c>
      <c r="D27" s="169">
        <v>230</v>
      </c>
      <c r="E27" s="167">
        <v>281.25</v>
      </c>
      <c r="F27" s="167">
        <v>9208000</v>
      </c>
      <c r="G27" s="169">
        <v>230</v>
      </c>
      <c r="H27" s="167">
        <v>281.25</v>
      </c>
      <c r="I27" s="167">
        <v>9208000</v>
      </c>
      <c r="J27" s="169">
        <v>230</v>
      </c>
      <c r="K27" s="167">
        <v>281.25</v>
      </c>
      <c r="L27" s="167">
        <v>9208000</v>
      </c>
    </row>
    <row r="28" spans="1:15" s="163" customFormat="1" ht="51">
      <c r="A28" s="171" t="s">
        <v>224</v>
      </c>
      <c r="B28" s="168" t="s">
        <v>605</v>
      </c>
      <c r="C28" s="165" t="s">
        <v>225</v>
      </c>
      <c r="D28" s="172">
        <v>147</v>
      </c>
      <c r="E28" s="167">
        <v>344.94</v>
      </c>
      <c r="F28" s="167">
        <v>1942000</v>
      </c>
      <c r="G28" s="172">
        <v>147</v>
      </c>
      <c r="H28" s="167">
        <v>344.94</v>
      </c>
      <c r="I28" s="167">
        <v>1942000</v>
      </c>
      <c r="J28" s="172">
        <v>147</v>
      </c>
      <c r="K28" s="167">
        <v>344.94</v>
      </c>
      <c r="L28" s="167">
        <v>1942000</v>
      </c>
    </row>
    <row r="29" spans="1:15" s="163" customFormat="1" ht="51">
      <c r="A29" s="171" t="s">
        <v>226</v>
      </c>
      <c r="B29" s="168" t="s">
        <v>606</v>
      </c>
      <c r="C29" s="165" t="s">
        <v>600</v>
      </c>
      <c r="D29" s="173">
        <v>0</v>
      </c>
      <c r="E29" s="167">
        <v>0</v>
      </c>
      <c r="F29" s="174">
        <v>0</v>
      </c>
      <c r="G29" s="173">
        <v>1</v>
      </c>
      <c r="H29" s="167">
        <v>0</v>
      </c>
      <c r="I29" s="174">
        <v>135000</v>
      </c>
      <c r="J29" s="173">
        <v>0</v>
      </c>
      <c r="K29" s="167">
        <v>0</v>
      </c>
      <c r="L29" s="174">
        <v>0</v>
      </c>
    </row>
    <row r="30" spans="1:15" s="163" customFormat="1" ht="51">
      <c r="A30" s="171" t="s">
        <v>229</v>
      </c>
      <c r="B30" s="168" t="s">
        <v>607</v>
      </c>
      <c r="C30" s="165" t="s">
        <v>600</v>
      </c>
      <c r="D30" s="173">
        <v>20</v>
      </c>
      <c r="E30" s="167">
        <v>250</v>
      </c>
      <c r="F30" s="174">
        <v>250000</v>
      </c>
      <c r="G30" s="173">
        <v>20</v>
      </c>
      <c r="H30" s="167">
        <v>250</v>
      </c>
      <c r="I30" s="174">
        <v>115000</v>
      </c>
      <c r="J30" s="173">
        <v>20</v>
      </c>
      <c r="K30" s="167">
        <v>250</v>
      </c>
      <c r="L30" s="174">
        <v>250000</v>
      </c>
    </row>
    <row r="31" spans="1:15" s="163" customFormat="1" ht="51">
      <c r="A31" s="171" t="s">
        <v>613</v>
      </c>
      <c r="B31" s="372" t="s">
        <v>608</v>
      </c>
      <c r="C31" s="165" t="s">
        <v>603</v>
      </c>
      <c r="D31" s="173">
        <v>200</v>
      </c>
      <c r="E31" s="174">
        <v>450</v>
      </c>
      <c r="F31" s="174">
        <v>90000</v>
      </c>
      <c r="G31" s="173">
        <v>200</v>
      </c>
      <c r="H31" s="174">
        <v>450</v>
      </c>
      <c r="I31" s="174">
        <v>90000</v>
      </c>
      <c r="J31" s="173">
        <v>200</v>
      </c>
      <c r="K31" s="174">
        <v>450</v>
      </c>
      <c r="L31" s="174">
        <v>90000</v>
      </c>
    </row>
    <row r="32" spans="1:15" s="163" customFormat="1" ht="24" customHeight="1">
      <c r="A32" s="176"/>
      <c r="B32" s="180" t="s">
        <v>227</v>
      </c>
      <c r="C32" s="406" t="s">
        <v>26</v>
      </c>
      <c r="D32" s="407" t="s">
        <v>26</v>
      </c>
      <c r="E32" s="407" t="s">
        <v>26</v>
      </c>
      <c r="F32" s="181">
        <f>SUM(F27:F31)</f>
        <v>11490000</v>
      </c>
      <c r="G32" s="407" t="s">
        <v>26</v>
      </c>
      <c r="H32" s="407" t="s">
        <v>26</v>
      </c>
      <c r="I32" s="181">
        <f>SUM(I27:I31)</f>
        <v>11490000</v>
      </c>
      <c r="J32" s="407" t="s">
        <v>26</v>
      </c>
      <c r="K32" s="407" t="s">
        <v>26</v>
      </c>
      <c r="L32" s="181">
        <f>SUM(L27:L31)</f>
        <v>11490000</v>
      </c>
    </row>
    <row r="33" spans="1:15" ht="15.75">
      <c r="A33" s="60"/>
    </row>
    <row r="34" spans="1:15" ht="15.75" hidden="1">
      <c r="A34" s="1050" t="s">
        <v>230</v>
      </c>
      <c r="B34" s="1050"/>
      <c r="C34" s="1050"/>
      <c r="D34" s="1050"/>
      <c r="E34" s="1050"/>
      <c r="F34" s="1050"/>
      <c r="G34" s="1050"/>
      <c r="H34" s="1050"/>
      <c r="I34" s="1050"/>
      <c r="J34" s="1050"/>
      <c r="K34" s="1050"/>
      <c r="L34" s="1050"/>
    </row>
    <row r="35" spans="1:15" ht="15.75" hidden="1">
      <c r="A35" s="1046" t="s">
        <v>212</v>
      </c>
      <c r="B35" s="1046"/>
      <c r="C35" s="1046"/>
      <c r="D35" s="1046"/>
      <c r="E35" s="1046"/>
      <c r="F35" s="1046"/>
      <c r="G35" s="1046"/>
      <c r="H35" s="1046"/>
      <c r="I35" s="1046"/>
      <c r="J35" s="1046"/>
      <c r="K35" s="1046"/>
      <c r="L35" s="1046"/>
    </row>
    <row r="36" spans="1:15" ht="15.75" hidden="1">
      <c r="A36" s="55" t="s">
        <v>484</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213</v>
      </c>
      <c r="B38" s="1035" t="s">
        <v>231</v>
      </c>
      <c r="C38" s="1035"/>
      <c r="D38" s="1035"/>
      <c r="E38" s="1035"/>
      <c r="F38" s="270" t="s">
        <v>215</v>
      </c>
      <c r="G38" s="1054" t="s">
        <v>568</v>
      </c>
      <c r="H38" s="1054"/>
      <c r="I38" s="1054" t="s">
        <v>569</v>
      </c>
      <c r="J38" s="1054"/>
      <c r="K38" s="1054" t="s">
        <v>570</v>
      </c>
      <c r="L38" s="1054"/>
    </row>
    <row r="39" spans="1:15" s="163" customFormat="1" ht="27.75" hidden="1" customHeight="1">
      <c r="A39" s="162" t="s">
        <v>222</v>
      </c>
      <c r="B39" s="1036" t="s">
        <v>541</v>
      </c>
      <c r="C39" s="1036"/>
      <c r="D39" s="1036"/>
      <c r="E39" s="1036"/>
      <c r="F39" s="165" t="s">
        <v>232</v>
      </c>
      <c r="G39" s="1034">
        <v>200936.22</v>
      </c>
      <c r="H39" s="1034"/>
      <c r="I39" s="1034">
        <v>81611.22</v>
      </c>
      <c r="J39" s="1034"/>
      <c r="K39" s="1034">
        <v>81611.22</v>
      </c>
      <c r="L39" s="1034"/>
    </row>
    <row r="40" spans="1:15" s="163" customFormat="1" ht="16.5" hidden="1" customHeight="1">
      <c r="A40" s="162" t="s">
        <v>17</v>
      </c>
      <c r="B40" s="1036" t="s">
        <v>542</v>
      </c>
      <c r="C40" s="1036"/>
      <c r="D40" s="1036"/>
      <c r="E40" s="1036"/>
      <c r="F40" s="165" t="s">
        <v>232</v>
      </c>
      <c r="G40" s="1052">
        <f>1196105.26</f>
        <v>1196105.26</v>
      </c>
      <c r="H40" s="1052"/>
      <c r="I40" s="1052">
        <v>0</v>
      </c>
      <c r="J40" s="1052"/>
      <c r="K40" s="1052">
        <v>0</v>
      </c>
      <c r="L40" s="1052"/>
      <c r="M40" s="166"/>
    </row>
    <row r="41" spans="1:15" hidden="1">
      <c r="A41" s="67"/>
      <c r="B41" s="1053" t="s">
        <v>227</v>
      </c>
      <c r="C41" s="1053"/>
      <c r="D41" s="1053"/>
      <c r="E41" s="1053"/>
      <c r="F41" s="68"/>
      <c r="G41" s="1052">
        <f>SUM(E39:G40)</f>
        <v>1397041.48</v>
      </c>
      <c r="H41" s="1052"/>
      <c r="I41" s="1052">
        <f>SUM(H39:I40)</f>
        <v>81611.22</v>
      </c>
      <c r="J41" s="1052"/>
      <c r="K41" s="1052">
        <f>SUM(K39:L40)</f>
        <v>81611.22</v>
      </c>
      <c r="L41" s="1052"/>
    </row>
    <row r="42" spans="1:15" hidden="1">
      <c r="A42" s="69"/>
      <c r="B42" s="70"/>
      <c r="C42" s="71"/>
      <c r="D42" s="65"/>
      <c r="E42" s="65"/>
      <c r="F42" s="65"/>
      <c r="G42" s="65"/>
      <c r="H42" s="65"/>
      <c r="I42" s="65"/>
      <c r="J42" s="65"/>
      <c r="K42" s="65"/>
      <c r="L42" s="65"/>
    </row>
    <row r="43" spans="1:15" ht="15.75" hidden="1">
      <c r="A43" s="300" t="s">
        <v>233</v>
      </c>
      <c r="B43" s="301"/>
      <c r="C43" s="301"/>
      <c r="D43" s="301"/>
      <c r="E43" s="301"/>
      <c r="F43" s="301"/>
      <c r="G43" s="301"/>
      <c r="H43" s="301"/>
      <c r="I43" s="301"/>
      <c r="J43" s="301"/>
      <c r="K43" s="301"/>
      <c r="L43" s="301"/>
    </row>
    <row r="44" spans="1:15" ht="15.75" hidden="1">
      <c r="A44" s="1051" t="s">
        <v>483</v>
      </c>
      <c r="B44" s="1051"/>
      <c r="C44" s="1051"/>
      <c r="D44" s="1051"/>
      <c r="E44" s="1051"/>
      <c r="F44" s="1051"/>
      <c r="G44" s="1051"/>
      <c r="H44" s="1051"/>
      <c r="I44" s="1051"/>
      <c r="J44" s="1051"/>
      <c r="K44" s="1051"/>
      <c r="L44" s="1051"/>
    </row>
    <row r="45" spans="1:15" ht="15.75" hidden="1">
      <c r="A45" s="302" t="s">
        <v>485</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179</v>
      </c>
      <c r="B47" s="1040" t="s">
        <v>234</v>
      </c>
      <c r="C47" s="1040"/>
      <c r="D47" s="1040"/>
      <c r="E47" s="1040"/>
      <c r="F47" s="308" t="s">
        <v>235</v>
      </c>
      <c r="G47" s="1040" t="s">
        <v>566</v>
      </c>
      <c r="H47" s="1040"/>
      <c r="I47" s="1040" t="s">
        <v>565</v>
      </c>
      <c r="J47" s="1040"/>
      <c r="K47" s="1040" t="s">
        <v>567</v>
      </c>
      <c r="L47" s="1040"/>
    </row>
    <row r="48" spans="1:15" s="163" customFormat="1" ht="27.75" hidden="1" customHeight="1">
      <c r="A48" s="309" t="s">
        <v>222</v>
      </c>
      <c r="B48" s="1041" t="s">
        <v>236</v>
      </c>
      <c r="C48" s="1041"/>
      <c r="D48" s="1041"/>
      <c r="E48" s="1041"/>
      <c r="F48" s="310" t="s">
        <v>52</v>
      </c>
      <c r="G48" s="1042">
        <v>0</v>
      </c>
      <c r="H48" s="1042"/>
      <c r="I48" s="1042">
        <v>0</v>
      </c>
      <c r="J48" s="1042"/>
      <c r="K48" s="1040">
        <v>0</v>
      </c>
      <c r="L48" s="1040"/>
      <c r="M48" s="164"/>
      <c r="N48" s="164"/>
      <c r="O48" s="164"/>
    </row>
    <row r="49" spans="1:12" hidden="1">
      <c r="A49" s="72"/>
    </row>
    <row r="50" spans="1:12" ht="15.75" hidden="1">
      <c r="A50" s="54" t="s">
        <v>237</v>
      </c>
    </row>
    <row r="51" spans="1:12" ht="15.75" hidden="1">
      <c r="A51" s="55" t="s">
        <v>484</v>
      </c>
      <c r="B51" s="55"/>
      <c r="C51" s="55"/>
      <c r="D51" s="55"/>
      <c r="E51" s="55"/>
      <c r="F51" s="55"/>
      <c r="G51" s="55"/>
      <c r="H51" s="55"/>
      <c r="I51" s="55"/>
      <c r="J51" s="55"/>
      <c r="K51" s="55"/>
      <c r="L51" s="55"/>
    </row>
    <row r="52" spans="1:12" ht="5.25" hidden="1" customHeight="1"/>
    <row r="53" spans="1:12" ht="25.5" hidden="1" customHeight="1">
      <c r="A53" s="73" t="s">
        <v>179</v>
      </c>
      <c r="B53" s="1043" t="s">
        <v>234</v>
      </c>
      <c r="C53" s="1043"/>
      <c r="D53" s="1043"/>
      <c r="E53" s="1043"/>
      <c r="F53" s="269" t="s">
        <v>235</v>
      </c>
      <c r="G53" s="1037" t="s">
        <v>566</v>
      </c>
      <c r="H53" s="1038"/>
      <c r="I53" s="1037" t="s">
        <v>565</v>
      </c>
      <c r="J53" s="1038"/>
      <c r="K53" s="1037" t="s">
        <v>567</v>
      </c>
      <c r="L53" s="1038"/>
    </row>
    <row r="54" spans="1:12" ht="30.75" hidden="1" customHeight="1">
      <c r="A54" s="73" t="s">
        <v>222</v>
      </c>
      <c r="B54" s="1044" t="s">
        <v>237</v>
      </c>
      <c r="C54" s="1044"/>
      <c r="D54" s="1044"/>
      <c r="E54" s="1044"/>
      <c r="F54" s="73" t="s">
        <v>52</v>
      </c>
      <c r="G54" s="1039">
        <v>0</v>
      </c>
      <c r="H54" s="1039"/>
      <c r="I54" s="1039">
        <v>0</v>
      </c>
      <c r="J54" s="1039"/>
      <c r="K54" s="1039">
        <v>0</v>
      </c>
      <c r="L54" s="1039"/>
    </row>
    <row r="55" spans="1:12" ht="20.25" hidden="1">
      <c r="C55" s="16"/>
      <c r="D55" s="16"/>
      <c r="E55" s="16"/>
      <c r="F55" s="16"/>
      <c r="H55" s="16"/>
      <c r="I55" s="16"/>
    </row>
    <row r="56" spans="1:12" ht="15.75" hidden="1">
      <c r="A56" s="55" t="s">
        <v>485</v>
      </c>
      <c r="B56" s="55"/>
      <c r="C56" s="55"/>
      <c r="D56" s="55"/>
      <c r="E56" s="55"/>
      <c r="F56" s="55"/>
      <c r="G56" s="55"/>
      <c r="H56" s="55"/>
      <c r="I56" s="55"/>
      <c r="J56" s="55"/>
      <c r="K56" s="55"/>
      <c r="L56" s="55"/>
    </row>
    <row r="57" spans="1:12" ht="5.25" hidden="1" customHeight="1"/>
    <row r="58" spans="1:12" ht="40.5" hidden="1" customHeight="1">
      <c r="A58" s="73" t="s">
        <v>179</v>
      </c>
      <c r="B58" s="1043" t="s">
        <v>234</v>
      </c>
      <c r="C58" s="1043"/>
      <c r="D58" s="1043"/>
      <c r="E58" s="1043"/>
      <c r="F58" s="269" t="s">
        <v>235</v>
      </c>
      <c r="G58" s="1037" t="s">
        <v>566</v>
      </c>
      <c r="H58" s="1038"/>
      <c r="I58" s="1037" t="s">
        <v>565</v>
      </c>
      <c r="J58" s="1038"/>
      <c r="K58" s="1037" t="s">
        <v>567</v>
      </c>
      <c r="L58" s="1038"/>
    </row>
    <row r="59" spans="1:12" ht="30" hidden="1" customHeight="1">
      <c r="A59" s="73" t="s">
        <v>222</v>
      </c>
      <c r="B59" s="1044" t="s">
        <v>237</v>
      </c>
      <c r="C59" s="1044"/>
      <c r="D59" s="1044"/>
      <c r="E59" s="1044"/>
      <c r="F59" s="73" t="s">
        <v>52</v>
      </c>
      <c r="G59" s="1039">
        <v>0</v>
      </c>
      <c r="H59" s="1039"/>
      <c r="I59" s="1039">
        <v>0</v>
      </c>
      <c r="J59" s="1039"/>
      <c r="K59" s="1039">
        <v>0</v>
      </c>
      <c r="L59" s="1039"/>
    </row>
    <row r="61" spans="1:12" ht="20.25">
      <c r="B61" s="16" t="s">
        <v>104</v>
      </c>
      <c r="G61" s="16" t="s">
        <v>105</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 ref="A22:L22"/>
    <mergeCell ref="A25:A26"/>
    <mergeCell ref="B25:B26"/>
    <mergeCell ref="C25:C26"/>
    <mergeCell ref="D25:F25"/>
    <mergeCell ref="G25:I25"/>
    <mergeCell ref="J25:L25"/>
    <mergeCell ref="A1:L1"/>
    <mergeCell ref="A2:L2"/>
    <mergeCell ref="M2:O2"/>
    <mergeCell ref="A5:L5"/>
    <mergeCell ref="A8:A9"/>
    <mergeCell ref="B8:B9"/>
    <mergeCell ref="C8:C9"/>
    <mergeCell ref="D8:F8"/>
    <mergeCell ref="G8:I8"/>
    <mergeCell ref="J8:L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K39:L39"/>
    <mergeCell ref="B38:E38"/>
    <mergeCell ref="B39:E39"/>
    <mergeCell ref="K53:L53"/>
    <mergeCell ref="K54:L54"/>
    <mergeCell ref="B47:E47"/>
    <mergeCell ref="B48:E48"/>
    <mergeCell ref="G47:H47"/>
    <mergeCell ref="I47:J47"/>
    <mergeCell ref="K47:L47"/>
    <mergeCell ref="G48:H48"/>
    <mergeCell ref="I48:J48"/>
    <mergeCell ref="K48:L48"/>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243</v>
      </c>
    </row>
    <row r="2" spans="1:16" ht="5.25" customHeight="1"/>
    <row r="3" spans="1:16">
      <c r="A3" s="75" t="s">
        <v>244</v>
      </c>
    </row>
    <row r="4" spans="1:16">
      <c r="A4" s="75" t="s">
        <v>245</v>
      </c>
    </row>
    <row r="5" spans="1:16">
      <c r="A5" s="75" t="s">
        <v>252</v>
      </c>
    </row>
    <row r="6" spans="1:16" ht="25.5" customHeight="1">
      <c r="A6" s="1043" t="s">
        <v>179</v>
      </c>
      <c r="B6" s="1043" t="s">
        <v>247</v>
      </c>
      <c r="C6" s="1043" t="s">
        <v>626</v>
      </c>
      <c r="D6" s="1043"/>
      <c r="E6" s="1043"/>
      <c r="F6" s="1043"/>
      <c r="G6" s="1043" t="s">
        <v>627</v>
      </c>
      <c r="H6" s="1043"/>
      <c r="I6" s="1043"/>
      <c r="J6" s="1043"/>
      <c r="K6" s="1043" t="s">
        <v>628</v>
      </c>
      <c r="L6" s="1043"/>
      <c r="M6" s="1043"/>
      <c r="N6" s="1043"/>
    </row>
    <row r="7" spans="1:16" ht="79.5" customHeight="1">
      <c r="A7" s="1043"/>
      <c r="B7" s="1043"/>
      <c r="C7" s="57" t="s">
        <v>258</v>
      </c>
      <c r="D7" s="57" t="s">
        <v>259</v>
      </c>
      <c r="E7" s="57" t="s">
        <v>253</v>
      </c>
      <c r="F7" s="57" t="s">
        <v>250</v>
      </c>
      <c r="G7" s="57" t="s">
        <v>258</v>
      </c>
      <c r="H7" s="57" t="s">
        <v>259</v>
      </c>
      <c r="I7" s="57" t="s">
        <v>253</v>
      </c>
      <c r="J7" s="57" t="s">
        <v>250</v>
      </c>
      <c r="K7" s="57" t="s">
        <v>258</v>
      </c>
      <c r="L7" s="57" t="s">
        <v>259</v>
      </c>
      <c r="M7" s="57" t="s">
        <v>253</v>
      </c>
      <c r="N7" s="57" t="s">
        <v>250</v>
      </c>
    </row>
    <row r="8" spans="1:16" ht="51">
      <c r="A8" s="57">
        <v>1</v>
      </c>
      <c r="B8" s="81" t="s">
        <v>260</v>
      </c>
      <c r="C8" s="74">
        <f>F8/E8/D8</f>
        <v>2200</v>
      </c>
      <c r="D8" s="57">
        <v>6</v>
      </c>
      <c r="E8" s="57">
        <v>3</v>
      </c>
      <c r="F8" s="74">
        <v>39600</v>
      </c>
      <c r="G8" s="74">
        <v>2200</v>
      </c>
      <c r="H8" s="57">
        <v>6</v>
      </c>
      <c r="I8" s="57">
        <v>3</v>
      </c>
      <c r="J8" s="74">
        <f>G8*H8*I8</f>
        <v>39600</v>
      </c>
      <c r="K8" s="74">
        <v>2200</v>
      </c>
      <c r="L8" s="57">
        <v>6</v>
      </c>
      <c r="M8" s="57">
        <v>3</v>
      </c>
      <c r="N8" s="74">
        <f>K8*M8*L8</f>
        <v>39600</v>
      </c>
      <c r="O8" s="75" t="s">
        <v>558</v>
      </c>
    </row>
    <row r="9" spans="1:16">
      <c r="A9" s="90"/>
      <c r="B9" s="81" t="s">
        <v>257</v>
      </c>
      <c r="C9" s="57" t="s">
        <v>26</v>
      </c>
      <c r="D9" s="89">
        <f>D8</f>
        <v>6</v>
      </c>
      <c r="E9" s="89">
        <f>E8</f>
        <v>3</v>
      </c>
      <c r="F9" s="74">
        <f>F8</f>
        <v>39600</v>
      </c>
      <c r="G9" s="57" t="s">
        <v>26</v>
      </c>
      <c r="H9" s="89">
        <f>H8</f>
        <v>6</v>
      </c>
      <c r="I9" s="89">
        <f>I8</f>
        <v>3</v>
      </c>
      <c r="J9" s="74">
        <f>J8</f>
        <v>39600</v>
      </c>
      <c r="K9" s="57" t="s">
        <v>26</v>
      </c>
      <c r="L9" s="89">
        <f>L8</f>
        <v>6</v>
      </c>
      <c r="M9" s="89">
        <f>M8</f>
        <v>3</v>
      </c>
      <c r="N9" s="74">
        <f>N8</f>
        <v>39600</v>
      </c>
    </row>
    <row r="10" spans="1:16">
      <c r="A10" s="91"/>
      <c r="B10" s="82"/>
      <c r="C10" s="56"/>
      <c r="D10" s="92"/>
      <c r="E10" s="92"/>
      <c r="F10" s="83"/>
      <c r="G10" s="56"/>
      <c r="H10" s="92"/>
      <c r="I10" s="92"/>
      <c r="J10" s="83"/>
      <c r="K10" s="56"/>
      <c r="L10" s="92"/>
      <c r="M10" s="92"/>
      <c r="N10" s="83"/>
      <c r="P10" s="75" t="s">
        <v>261</v>
      </c>
    </row>
    <row r="11" spans="1:16" hidden="1">
      <c r="A11" s="75" t="s">
        <v>244</v>
      </c>
      <c r="B11" s="82"/>
      <c r="C11" s="83"/>
      <c r="D11" s="56"/>
      <c r="E11" s="56"/>
      <c r="F11" s="83"/>
      <c r="G11" s="83"/>
      <c r="H11" s="56"/>
      <c r="I11" s="56"/>
      <c r="J11" s="83"/>
      <c r="K11" s="83"/>
      <c r="L11" s="56"/>
      <c r="M11" s="56"/>
      <c r="N11" s="83"/>
    </row>
    <row r="12" spans="1:16" hidden="1">
      <c r="A12" s="75" t="s">
        <v>245</v>
      </c>
      <c r="B12" s="82"/>
      <c r="C12" s="83"/>
      <c r="D12" s="56"/>
      <c r="E12" s="56"/>
      <c r="F12" s="83"/>
      <c r="G12" s="83"/>
      <c r="H12" s="56"/>
      <c r="I12" s="56"/>
      <c r="J12" s="83"/>
      <c r="K12" s="83"/>
      <c r="L12" s="56"/>
      <c r="M12" s="56"/>
      <c r="N12" s="83"/>
    </row>
    <row r="13" spans="1:16" hidden="1">
      <c r="A13" s="75" t="s">
        <v>252</v>
      </c>
      <c r="B13" s="82"/>
      <c r="C13" s="83"/>
      <c r="D13" s="56"/>
      <c r="E13" s="56"/>
      <c r="F13" s="83"/>
      <c r="G13" s="83"/>
      <c r="H13" s="56"/>
      <c r="I13" s="56"/>
      <c r="J13" s="83"/>
      <c r="K13" s="83"/>
      <c r="L13" s="56"/>
      <c r="M13" s="56"/>
      <c r="N13" s="83"/>
    </row>
    <row r="14" spans="1:16" hidden="1">
      <c r="A14" s="1043" t="s">
        <v>179</v>
      </c>
      <c r="B14" s="1043" t="s">
        <v>247</v>
      </c>
      <c r="C14" s="1043" t="s">
        <v>216</v>
      </c>
      <c r="D14" s="1043"/>
      <c r="E14" s="1043"/>
      <c r="F14" s="1043"/>
      <c r="G14" s="1043" t="s">
        <v>217</v>
      </c>
      <c r="H14" s="1043"/>
      <c r="I14" s="1043"/>
      <c r="J14" s="1043"/>
      <c r="K14" s="1043" t="s">
        <v>218</v>
      </c>
      <c r="L14" s="1043"/>
      <c r="M14" s="1043"/>
      <c r="N14" s="1043"/>
    </row>
    <row r="15" spans="1:16" ht="82.5" hidden="1" customHeight="1">
      <c r="A15" s="1043"/>
      <c r="B15" s="1043"/>
      <c r="C15" s="57" t="s">
        <v>258</v>
      </c>
      <c r="D15" s="57" t="s">
        <v>259</v>
      </c>
      <c r="E15" s="57" t="s">
        <v>253</v>
      </c>
      <c r="F15" s="57" t="s">
        <v>250</v>
      </c>
      <c r="G15" s="57" t="s">
        <v>258</v>
      </c>
      <c r="H15" s="57" t="s">
        <v>259</v>
      </c>
      <c r="I15" s="57" t="s">
        <v>253</v>
      </c>
      <c r="J15" s="57" t="s">
        <v>250</v>
      </c>
      <c r="K15" s="57" t="s">
        <v>258</v>
      </c>
      <c r="L15" s="57" t="s">
        <v>259</v>
      </c>
      <c r="M15" s="57" t="s">
        <v>253</v>
      </c>
      <c r="N15" s="57" t="s">
        <v>250</v>
      </c>
    </row>
    <row r="16" spans="1:16" ht="108" hidden="1" customHeight="1">
      <c r="A16" s="57">
        <v>1</v>
      </c>
      <c r="B16" s="81" t="s">
        <v>254</v>
      </c>
      <c r="C16" s="57" t="s">
        <v>26</v>
      </c>
      <c r="D16" s="57" t="s">
        <v>26</v>
      </c>
      <c r="E16" s="57" t="s">
        <v>26</v>
      </c>
      <c r="F16" s="57" t="s">
        <v>26</v>
      </c>
      <c r="G16" s="57" t="s">
        <v>26</v>
      </c>
      <c r="H16" s="57" t="s">
        <v>26</v>
      </c>
      <c r="I16" s="57" t="s">
        <v>26</v>
      </c>
      <c r="J16" s="57" t="s">
        <v>26</v>
      </c>
      <c r="K16" s="57" t="s">
        <v>26</v>
      </c>
      <c r="L16" s="57" t="s">
        <v>26</v>
      </c>
      <c r="M16" s="57" t="s">
        <v>26</v>
      </c>
      <c r="N16" s="57" t="s">
        <v>26</v>
      </c>
    </row>
    <row r="17" spans="1:14" ht="89.25" hidden="1">
      <c r="A17" s="87" t="s">
        <v>129</v>
      </c>
      <c r="B17" s="81" t="s">
        <v>262</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17</v>
      </c>
      <c r="B19" s="81" t="s">
        <v>255</v>
      </c>
      <c r="C19" s="57" t="s">
        <v>26</v>
      </c>
      <c r="D19" s="57" t="s">
        <v>26</v>
      </c>
      <c r="E19" s="57" t="s">
        <v>26</v>
      </c>
      <c r="F19" s="57" t="s">
        <v>26</v>
      </c>
      <c r="G19" s="57" t="s">
        <v>26</v>
      </c>
      <c r="H19" s="57" t="s">
        <v>26</v>
      </c>
      <c r="I19" s="57" t="s">
        <v>26</v>
      </c>
      <c r="J19" s="57" t="s">
        <v>26</v>
      </c>
      <c r="K19" s="57" t="s">
        <v>26</v>
      </c>
      <c r="L19" s="57" t="s">
        <v>26</v>
      </c>
      <c r="M19" s="57" t="s">
        <v>26</v>
      </c>
      <c r="N19" s="57" t="s">
        <v>26</v>
      </c>
    </row>
    <row r="20" spans="1:14" ht="76.5" hidden="1">
      <c r="A20" s="87" t="s">
        <v>158</v>
      </c>
      <c r="B20" s="81" t="s">
        <v>256</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257</v>
      </c>
      <c r="C22" s="57" t="s">
        <v>26</v>
      </c>
      <c r="D22" s="89">
        <f>D17+D20</f>
        <v>0</v>
      </c>
      <c r="E22" s="89">
        <f>E17+E20</f>
        <v>0</v>
      </c>
      <c r="F22" s="74">
        <f>F17+F20</f>
        <v>0</v>
      </c>
      <c r="G22" s="57" t="s">
        <v>26</v>
      </c>
      <c r="H22" s="57">
        <f>H17</f>
        <v>0</v>
      </c>
      <c r="I22" s="57">
        <f>I17</f>
        <v>0</v>
      </c>
      <c r="J22" s="74">
        <f>J17</f>
        <v>0</v>
      </c>
      <c r="K22" s="57" t="s">
        <v>26</v>
      </c>
      <c r="L22" s="57">
        <f>L17</f>
        <v>0</v>
      </c>
      <c r="M22" s="57">
        <f>M17</f>
        <v>0</v>
      </c>
      <c r="N22" s="74">
        <f>N17</f>
        <v>0</v>
      </c>
    </row>
    <row r="23" spans="1:14">
      <c r="A23" s="95"/>
    </row>
    <row r="24" spans="1:14">
      <c r="A24" s="75" t="s">
        <v>263</v>
      </c>
    </row>
    <row r="26" spans="1:14">
      <c r="A26" s="75" t="s">
        <v>264</v>
      </c>
    </row>
    <row r="27" spans="1:14" s="77" customFormat="1" hidden="1">
      <c r="A27" s="77" t="s">
        <v>251</v>
      </c>
    </row>
    <row r="28" spans="1:14" hidden="1">
      <c r="B28" s="75" t="s">
        <v>482</v>
      </c>
    </row>
    <row r="29" spans="1:14" hidden="1">
      <c r="A29" s="75" t="s">
        <v>239</v>
      </c>
    </row>
    <row r="30" spans="1:14" hidden="1">
      <c r="A30" s="75" t="s">
        <v>265</v>
      </c>
    </row>
    <row r="31" spans="1:14" hidden="1">
      <c r="A31" s="75" t="s">
        <v>266</v>
      </c>
    </row>
    <row r="32" spans="1:14" ht="25.5" hidden="1" customHeight="1">
      <c r="A32" s="1055" t="s">
        <v>179</v>
      </c>
      <c r="B32" s="1055" t="s">
        <v>247</v>
      </c>
      <c r="C32" s="1037" t="s">
        <v>267</v>
      </c>
      <c r="D32" s="1057"/>
      <c r="E32" s="1057"/>
      <c r="F32" s="1038"/>
      <c r="G32" s="1037" t="s">
        <v>268</v>
      </c>
      <c r="H32" s="1057"/>
      <c r="I32" s="1057"/>
      <c r="J32" s="1038"/>
      <c r="K32" s="1037" t="s">
        <v>269</v>
      </c>
      <c r="L32" s="1057"/>
      <c r="M32" s="1057"/>
      <c r="N32" s="1038"/>
    </row>
    <row r="33" spans="1:16" ht="63.75" hidden="1">
      <c r="A33" s="1056"/>
      <c r="B33" s="1056"/>
      <c r="C33" s="57" t="s">
        <v>248</v>
      </c>
      <c r="D33" s="57" t="s">
        <v>259</v>
      </c>
      <c r="E33" s="57" t="s">
        <v>249</v>
      </c>
      <c r="F33" s="57" t="s">
        <v>250</v>
      </c>
      <c r="G33" s="57" t="s">
        <v>270</v>
      </c>
      <c r="H33" s="57" t="s">
        <v>259</v>
      </c>
      <c r="I33" s="57" t="s">
        <v>249</v>
      </c>
      <c r="J33" s="57" t="s">
        <v>250</v>
      </c>
      <c r="K33" s="57" t="s">
        <v>271</v>
      </c>
      <c r="L33" s="57" t="s">
        <v>259</v>
      </c>
      <c r="M33" s="57" t="s">
        <v>249</v>
      </c>
      <c r="N33" s="57" t="s">
        <v>250</v>
      </c>
    </row>
    <row r="34" spans="1:16" hidden="1">
      <c r="A34" s="57"/>
      <c r="B34" s="57"/>
      <c r="C34" s="90"/>
      <c r="D34" s="90"/>
      <c r="E34" s="90"/>
      <c r="F34" s="90"/>
      <c r="G34" s="90"/>
      <c r="H34" s="90"/>
      <c r="I34" s="90"/>
      <c r="J34" s="90"/>
      <c r="K34" s="90"/>
      <c r="L34" s="90"/>
      <c r="M34" s="90"/>
      <c r="N34" s="90"/>
    </row>
    <row r="35" spans="1:16">
      <c r="P35" s="75" t="s">
        <v>272</v>
      </c>
    </row>
    <row r="36" spans="1:16" s="84" customFormat="1">
      <c r="A36" s="84" t="s">
        <v>243</v>
      </c>
      <c r="D36" s="264"/>
    </row>
    <row r="38" spans="1:16">
      <c r="A38" s="75" t="s">
        <v>244</v>
      </c>
    </row>
    <row r="39" spans="1:16">
      <c r="A39" s="75" t="s">
        <v>245</v>
      </c>
    </row>
    <row r="40" spans="1:16">
      <c r="A40" s="75" t="s">
        <v>252</v>
      </c>
    </row>
    <row r="42" spans="1:16" ht="30.75" customHeight="1">
      <c r="A42" s="1043" t="s">
        <v>179</v>
      </c>
      <c r="B42" s="1043" t="s">
        <v>247</v>
      </c>
      <c r="C42" s="1043" t="s">
        <v>626</v>
      </c>
      <c r="D42" s="1043"/>
      <c r="E42" s="1043"/>
      <c r="F42" s="1043"/>
      <c r="G42" s="1043" t="s">
        <v>627</v>
      </c>
      <c r="H42" s="1043"/>
      <c r="I42" s="1043"/>
      <c r="J42" s="1043"/>
      <c r="K42" s="1043" t="s">
        <v>628</v>
      </c>
      <c r="L42" s="1043"/>
      <c r="M42" s="1043"/>
      <c r="N42" s="1043"/>
    </row>
    <row r="43" spans="1:16" ht="85.5" customHeight="1">
      <c r="A43" s="1043"/>
      <c r="B43" s="1043"/>
      <c r="C43" s="57" t="s">
        <v>248</v>
      </c>
      <c r="D43" s="57" t="s">
        <v>495</v>
      </c>
      <c r="E43" s="57" t="s">
        <v>494</v>
      </c>
      <c r="F43" s="57" t="s">
        <v>250</v>
      </c>
      <c r="G43" s="57" t="s">
        <v>248</v>
      </c>
      <c r="H43" s="182" t="s">
        <v>495</v>
      </c>
      <c r="I43" s="182" t="s">
        <v>494</v>
      </c>
      <c r="J43" s="57" t="s">
        <v>250</v>
      </c>
      <c r="K43" s="57" t="s">
        <v>248</v>
      </c>
      <c r="L43" s="182" t="s">
        <v>495</v>
      </c>
      <c r="M43" s="182" t="s">
        <v>494</v>
      </c>
      <c r="N43" s="57" t="s">
        <v>250</v>
      </c>
    </row>
    <row r="44" spans="1:16" ht="37.5" customHeight="1">
      <c r="A44" s="57">
        <v>1</v>
      </c>
      <c r="B44" s="81" t="s">
        <v>492</v>
      </c>
      <c r="C44" s="87" t="s">
        <v>496</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493</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257</v>
      </c>
      <c r="C46" s="98" t="s">
        <v>26</v>
      </c>
      <c r="D46" s="98" t="s">
        <v>26</v>
      </c>
      <c r="E46" s="98" t="s">
        <v>26</v>
      </c>
      <c r="F46" s="96">
        <f t="shared" ref="F46" si="2">SUM(F44:F45)</f>
        <v>175640</v>
      </c>
      <c r="G46" s="98" t="s">
        <v>26</v>
      </c>
      <c r="H46" s="98" t="s">
        <v>26</v>
      </c>
      <c r="I46" s="98" t="s">
        <v>26</v>
      </c>
      <c r="J46" s="97">
        <f>SUM(J44:J45)</f>
        <v>0</v>
      </c>
      <c r="K46" s="98" t="s">
        <v>26</v>
      </c>
      <c r="L46" s="98" t="s">
        <v>26</v>
      </c>
      <c r="M46" s="98" t="s">
        <v>26</v>
      </c>
      <c r="N46" s="97">
        <f>SUM(N44:N45)</f>
        <v>0</v>
      </c>
    </row>
    <row r="47" spans="1:16">
      <c r="F47" s="78"/>
      <c r="J47" s="78"/>
      <c r="N47" s="78"/>
    </row>
    <row r="48" spans="1:16">
      <c r="A48" s="75" t="s">
        <v>273</v>
      </c>
      <c r="P48" s="75" t="s">
        <v>274</v>
      </c>
    </row>
    <row r="49" spans="1:15" s="77" customFormat="1">
      <c r="A49" s="77" t="s">
        <v>238</v>
      </c>
    </row>
    <row r="50" spans="1:15">
      <c r="A50" s="75" t="s">
        <v>239</v>
      </c>
    </row>
    <row r="51" spans="1:15">
      <c r="A51" s="75" t="s">
        <v>240</v>
      </c>
    </row>
    <row r="52" spans="1:15">
      <c r="A52" s="75" t="s">
        <v>252</v>
      </c>
    </row>
    <row r="53" spans="1:15" ht="25.5" customHeight="1">
      <c r="A53" s="1043" t="s">
        <v>179</v>
      </c>
      <c r="B53" s="1043" t="s">
        <v>247</v>
      </c>
      <c r="C53" s="1043" t="s">
        <v>626</v>
      </c>
      <c r="D53" s="1043"/>
      <c r="E53" s="1043"/>
      <c r="F53" s="1043" t="s">
        <v>627</v>
      </c>
      <c r="G53" s="1043"/>
      <c r="H53" s="1043"/>
      <c r="I53" s="1043" t="s">
        <v>628</v>
      </c>
      <c r="J53" s="1043"/>
      <c r="K53" s="1043"/>
    </row>
    <row r="54" spans="1:15" ht="82.5" customHeight="1">
      <c r="A54" s="1043"/>
      <c r="B54" s="1043"/>
      <c r="C54" s="57" t="s">
        <v>275</v>
      </c>
      <c r="D54" s="57" t="s">
        <v>259</v>
      </c>
      <c r="E54" s="57" t="s">
        <v>250</v>
      </c>
      <c r="F54" s="57" t="s">
        <v>275</v>
      </c>
      <c r="G54" s="57" t="s">
        <v>259</v>
      </c>
      <c r="H54" s="57" t="s">
        <v>250</v>
      </c>
      <c r="I54" s="57" t="s">
        <v>275</v>
      </c>
      <c r="J54" s="57" t="s">
        <v>259</v>
      </c>
      <c r="K54" s="57" t="s">
        <v>250</v>
      </c>
    </row>
    <row r="55" spans="1:15" ht="54.75" customHeight="1">
      <c r="A55" s="57">
        <v>1</v>
      </c>
      <c r="B55" s="81" t="s">
        <v>276</v>
      </c>
      <c r="C55" s="74">
        <f>E55/D55</f>
        <v>3367</v>
      </c>
      <c r="D55" s="89">
        <v>2</v>
      </c>
      <c r="E55" s="74">
        <v>6734</v>
      </c>
      <c r="F55" s="74">
        <v>0</v>
      </c>
      <c r="G55" s="74">
        <v>0</v>
      </c>
      <c r="H55" s="74">
        <v>0</v>
      </c>
      <c r="I55" s="74">
        <v>0</v>
      </c>
      <c r="J55" s="74">
        <v>0</v>
      </c>
      <c r="K55" s="74">
        <v>0</v>
      </c>
      <c r="O55" s="75" t="s">
        <v>559</v>
      </c>
    </row>
    <row r="56" spans="1:15">
      <c r="A56" s="97"/>
      <c r="B56" s="97" t="s">
        <v>257</v>
      </c>
      <c r="C56" s="98" t="s">
        <v>26</v>
      </c>
      <c r="D56" s="99">
        <f>D55</f>
        <v>2</v>
      </c>
      <c r="E56" s="100">
        <f>E55</f>
        <v>6734</v>
      </c>
      <c r="F56" s="101" t="s">
        <v>26</v>
      </c>
      <c r="G56" s="102">
        <v>0</v>
      </c>
      <c r="H56" s="102">
        <v>0</v>
      </c>
      <c r="I56" s="98" t="s">
        <v>26</v>
      </c>
      <c r="J56" s="102">
        <v>0</v>
      </c>
      <c r="K56" s="102">
        <v>0</v>
      </c>
    </row>
    <row r="57" spans="1:15" s="84" customFormat="1"/>
    <row r="61" spans="1:15" ht="29.25" customHeight="1">
      <c r="A61" s="1058"/>
      <c r="B61" s="1058"/>
      <c r="C61" s="1058"/>
      <c r="D61" s="1058"/>
      <c r="E61" s="1058"/>
      <c r="F61" s="1058"/>
      <c r="G61" s="1058"/>
      <c r="H61" s="1058"/>
      <c r="I61" s="1058"/>
      <c r="J61" s="1058"/>
      <c r="K61" s="1058"/>
    </row>
    <row r="62" spans="1:15" ht="51" customHeight="1">
      <c r="A62" s="1058"/>
      <c r="B62" s="1058"/>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283</v>
      </c>
    </row>
    <row r="2" spans="1:16" s="109" customFormat="1">
      <c r="A2" s="110" t="s">
        <v>251</v>
      </c>
    </row>
    <row r="3" spans="1:16">
      <c r="A3" s="29" t="s">
        <v>239</v>
      </c>
    </row>
    <row r="4" spans="1:16">
      <c r="A4" s="29" t="s">
        <v>240</v>
      </c>
    </row>
    <row r="5" spans="1:16">
      <c r="A5" s="29" t="s">
        <v>252</v>
      </c>
    </row>
    <row r="6" spans="1:16">
      <c r="A6" s="1061" t="s">
        <v>179</v>
      </c>
      <c r="B6" s="1061" t="s">
        <v>284</v>
      </c>
      <c r="C6" s="1061" t="s">
        <v>562</v>
      </c>
      <c r="D6" s="1061"/>
      <c r="E6" s="1061"/>
      <c r="F6" s="1061"/>
      <c r="G6" s="1061" t="s">
        <v>563</v>
      </c>
      <c r="H6" s="1061"/>
      <c r="I6" s="1061"/>
      <c r="J6" s="1061"/>
      <c r="K6" s="1061" t="s">
        <v>564</v>
      </c>
      <c r="L6" s="1061"/>
      <c r="M6" s="1061"/>
      <c r="N6" s="1061"/>
    </row>
    <row r="7" spans="1:16" ht="18.75" customHeight="1">
      <c r="A7" s="1061"/>
      <c r="B7" s="1061"/>
      <c r="C7" s="1061" t="s">
        <v>285</v>
      </c>
      <c r="D7" s="1062" t="s">
        <v>286</v>
      </c>
      <c r="E7" s="1063"/>
      <c r="F7" s="1061" t="s">
        <v>281</v>
      </c>
      <c r="G7" s="1061" t="s">
        <v>285</v>
      </c>
      <c r="H7" s="1062" t="s">
        <v>286</v>
      </c>
      <c r="I7" s="1063"/>
      <c r="J7" s="1061" t="s">
        <v>281</v>
      </c>
      <c r="K7" s="1061" t="s">
        <v>285</v>
      </c>
      <c r="L7" s="1062" t="s">
        <v>286</v>
      </c>
      <c r="M7" s="1063"/>
      <c r="N7" s="1061" t="s">
        <v>281</v>
      </c>
    </row>
    <row r="8" spans="1:16">
      <c r="A8" s="1061"/>
      <c r="B8" s="1061"/>
      <c r="C8" s="1061"/>
      <c r="D8" s="1064"/>
      <c r="E8" s="1065"/>
      <c r="F8" s="1061"/>
      <c r="G8" s="1061"/>
      <c r="H8" s="1064"/>
      <c r="I8" s="1065"/>
      <c r="J8" s="1061"/>
      <c r="K8" s="1061"/>
      <c r="L8" s="1064"/>
      <c r="M8" s="1065"/>
      <c r="N8" s="1061"/>
    </row>
    <row r="9" spans="1:16" s="111" customFormat="1" ht="38.25">
      <c r="A9" s="480">
        <v>1</v>
      </c>
      <c r="B9" s="481" t="s">
        <v>287</v>
      </c>
      <c r="C9" s="482">
        <v>10000</v>
      </c>
      <c r="D9" s="1066">
        <v>0.30199999999999999</v>
      </c>
      <c r="E9" s="1067"/>
      <c r="F9" s="482">
        <f>C9*D9</f>
        <v>3020</v>
      </c>
      <c r="G9" s="482">
        <v>20000</v>
      </c>
      <c r="H9" s="1066">
        <v>0.30199999999999999</v>
      </c>
      <c r="I9" s="1067"/>
      <c r="J9" s="482">
        <f t="shared" ref="J9:J12" si="0">G9*H9</f>
        <v>6040</v>
      </c>
      <c r="K9" s="482">
        <v>0</v>
      </c>
      <c r="L9" s="1066">
        <v>0.30199999999999999</v>
      </c>
      <c r="M9" s="1067"/>
      <c r="N9" s="482">
        <f t="shared" ref="N9:N12" si="1">K9*L9</f>
        <v>0</v>
      </c>
    </row>
    <row r="10" spans="1:16" s="111" customFormat="1" ht="38.25">
      <c r="A10" s="480">
        <v>2</v>
      </c>
      <c r="B10" s="481" t="s">
        <v>288</v>
      </c>
      <c r="C10" s="482">
        <v>20000</v>
      </c>
      <c r="D10" s="1066">
        <v>0.30199999999999999</v>
      </c>
      <c r="E10" s="1067"/>
      <c r="F10" s="482">
        <f t="shared" ref="F10:F11" si="2">C10*D10</f>
        <v>6040</v>
      </c>
      <c r="G10" s="482">
        <v>20000</v>
      </c>
      <c r="H10" s="1066">
        <v>0.30199999999999999</v>
      </c>
      <c r="I10" s="1067"/>
      <c r="J10" s="482">
        <f t="shared" si="0"/>
        <v>6040</v>
      </c>
      <c r="K10" s="482">
        <v>20000</v>
      </c>
      <c r="L10" s="1066">
        <v>0.30199999999999999</v>
      </c>
      <c r="M10" s="1067"/>
      <c r="N10" s="482">
        <f t="shared" si="1"/>
        <v>6040</v>
      </c>
    </row>
    <row r="11" spans="1:16" s="111" customFormat="1" ht="38.25">
      <c r="A11" s="480">
        <v>2</v>
      </c>
      <c r="B11" s="483" t="s">
        <v>652</v>
      </c>
      <c r="C11" s="484">
        <v>5000</v>
      </c>
      <c r="D11" s="1068">
        <v>0.30199999999999999</v>
      </c>
      <c r="E11" s="1069"/>
      <c r="F11" s="484">
        <f t="shared" si="2"/>
        <v>1510</v>
      </c>
      <c r="G11" s="484">
        <v>5000</v>
      </c>
      <c r="H11" s="1068">
        <v>0.30199999999999999</v>
      </c>
      <c r="I11" s="1069"/>
      <c r="J11" s="482">
        <f t="shared" si="0"/>
        <v>1510</v>
      </c>
      <c r="K11" s="482">
        <v>5000</v>
      </c>
      <c r="L11" s="1066">
        <v>0.30199999999999999</v>
      </c>
      <c r="M11" s="1067"/>
      <c r="N11" s="482">
        <f t="shared" si="1"/>
        <v>1510</v>
      </c>
    </row>
    <row r="12" spans="1:16" s="111" customFormat="1" ht="38.25">
      <c r="A12" s="480">
        <v>3</v>
      </c>
      <c r="B12" s="483" t="s">
        <v>289</v>
      </c>
      <c r="C12" s="484">
        <v>314333.40999999997</v>
      </c>
      <c r="D12" s="1068">
        <v>0.30199999999999999</v>
      </c>
      <c r="E12" s="1069"/>
      <c r="F12" s="484">
        <f>C12*D12</f>
        <v>94928.69</v>
      </c>
      <c r="G12" s="484">
        <v>16685.830000000002</v>
      </c>
      <c r="H12" s="1068">
        <v>0.30199999999999999</v>
      </c>
      <c r="I12" s="1069"/>
      <c r="J12" s="482">
        <f t="shared" si="0"/>
        <v>5039.12</v>
      </c>
      <c r="K12" s="482">
        <v>0</v>
      </c>
      <c r="L12" s="1066">
        <v>0.30199999999999999</v>
      </c>
      <c r="M12" s="1067"/>
      <c r="N12" s="482">
        <f t="shared" si="1"/>
        <v>0</v>
      </c>
      <c r="P12" s="280" t="s">
        <v>557</v>
      </c>
    </row>
    <row r="13" spans="1:16" s="111" customFormat="1">
      <c r="A13" s="481"/>
      <c r="B13" s="480" t="s">
        <v>257</v>
      </c>
      <c r="C13" s="480" t="s">
        <v>26</v>
      </c>
      <c r="D13" s="1070" t="s">
        <v>26</v>
      </c>
      <c r="E13" s="1071"/>
      <c r="F13" s="482">
        <f>SUM(F9:F12)</f>
        <v>105498.69</v>
      </c>
      <c r="G13" s="480" t="s">
        <v>26</v>
      </c>
      <c r="H13" s="1070" t="s">
        <v>26</v>
      </c>
      <c r="I13" s="1071"/>
      <c r="J13" s="482">
        <f>SUM(J9:J12)</f>
        <v>18629.12</v>
      </c>
      <c r="K13" s="480" t="s">
        <v>26</v>
      </c>
      <c r="L13" s="1070" t="s">
        <v>26</v>
      </c>
      <c r="M13" s="1071"/>
      <c r="N13" s="482">
        <f>SUM(N9:N12)</f>
        <v>7550</v>
      </c>
    </row>
    <row r="14" spans="1:16" s="111" customFormat="1"/>
    <row r="15" spans="1:16" s="113" customFormat="1">
      <c r="A15" s="114" t="s">
        <v>243</v>
      </c>
    </row>
    <row r="16" spans="1:16">
      <c r="A16" s="29" t="s">
        <v>244</v>
      </c>
    </row>
    <row r="17" spans="1:15" ht="25.5" customHeight="1">
      <c r="A17" s="1043" t="s">
        <v>179</v>
      </c>
      <c r="B17" s="1043" t="s">
        <v>284</v>
      </c>
      <c r="C17" s="1043" t="s">
        <v>277</v>
      </c>
      <c r="D17" s="1043"/>
      <c r="E17" s="1043"/>
      <c r="F17" s="1043"/>
      <c r="G17" s="1043" t="s">
        <v>278</v>
      </c>
      <c r="H17" s="1043"/>
      <c r="I17" s="1043"/>
      <c r="J17" s="1043"/>
      <c r="K17" s="1043" t="s">
        <v>279</v>
      </c>
      <c r="L17" s="1043"/>
      <c r="M17" s="1043"/>
      <c r="N17" s="1043"/>
    </row>
    <row r="18" spans="1:15" ht="25.5" customHeight="1">
      <c r="A18" s="1043"/>
      <c r="B18" s="1043"/>
      <c r="C18" s="1043" t="s">
        <v>285</v>
      </c>
      <c r="D18" s="1043" t="s">
        <v>286</v>
      </c>
      <c r="E18" s="57"/>
      <c r="F18" s="1043" t="s">
        <v>281</v>
      </c>
      <c r="G18" s="1043" t="s">
        <v>285</v>
      </c>
      <c r="H18" s="1043" t="s">
        <v>286</v>
      </c>
      <c r="I18" s="57"/>
      <c r="J18" s="1043" t="s">
        <v>281</v>
      </c>
      <c r="K18" s="1043" t="s">
        <v>285</v>
      </c>
      <c r="L18" s="1043" t="s">
        <v>286</v>
      </c>
      <c r="M18" s="57"/>
      <c r="N18" s="1043" t="s">
        <v>281</v>
      </c>
    </row>
    <row r="19" spans="1:15">
      <c r="A19" s="1043"/>
      <c r="B19" s="1043"/>
      <c r="C19" s="1043"/>
      <c r="D19" s="1043"/>
      <c r="E19" s="57"/>
      <c r="F19" s="1043"/>
      <c r="G19" s="1043"/>
      <c r="H19" s="1043"/>
      <c r="I19" s="57"/>
      <c r="J19" s="1043"/>
      <c r="K19" s="1043"/>
      <c r="L19" s="1043"/>
      <c r="M19" s="57"/>
      <c r="N19" s="1043"/>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290</v>
      </c>
    </row>
    <row r="23" spans="1:15" s="109" customFormat="1">
      <c r="A23" s="110" t="s">
        <v>238</v>
      </c>
    </row>
    <row r="24" spans="1:15">
      <c r="A24" s="29" t="s">
        <v>239</v>
      </c>
    </row>
    <row r="25" spans="1:15">
      <c r="A25" s="29" t="s">
        <v>291</v>
      </c>
    </row>
    <row r="26" spans="1:15">
      <c r="A26" s="116" t="s">
        <v>292</v>
      </c>
    </row>
    <row r="27" spans="1:15" ht="25.5" customHeight="1">
      <c r="A27" s="1043" t="s">
        <v>179</v>
      </c>
      <c r="B27" s="1043" t="s">
        <v>247</v>
      </c>
      <c r="C27" s="1043" t="s">
        <v>277</v>
      </c>
      <c r="D27" s="1043"/>
      <c r="E27" s="1043"/>
      <c r="F27" s="1043"/>
      <c r="G27" s="1043"/>
      <c r="H27" s="1043" t="s">
        <v>278</v>
      </c>
      <c r="I27" s="1043"/>
      <c r="J27" s="1043"/>
      <c r="K27" s="1043"/>
      <c r="L27" s="1043"/>
      <c r="M27" s="57"/>
      <c r="N27" s="1043" t="s">
        <v>279</v>
      </c>
      <c r="O27" s="1043"/>
    </row>
    <row r="28" spans="1:15" ht="76.5">
      <c r="A28" s="1043"/>
      <c r="B28" s="1043"/>
      <c r="C28" s="57" t="s">
        <v>248</v>
      </c>
      <c r="D28" s="57" t="s">
        <v>280</v>
      </c>
      <c r="E28" s="57"/>
      <c r="F28" s="57" t="s">
        <v>249</v>
      </c>
      <c r="G28" s="57" t="s">
        <v>250</v>
      </c>
      <c r="H28" s="57" t="s">
        <v>248</v>
      </c>
      <c r="I28" s="57"/>
      <c r="J28" s="57" t="s">
        <v>280</v>
      </c>
      <c r="K28" s="57" t="s">
        <v>249</v>
      </c>
      <c r="L28" s="57" t="s">
        <v>250</v>
      </c>
      <c r="M28" s="57"/>
      <c r="N28" s="57" t="s">
        <v>248</v>
      </c>
      <c r="O28" s="57" t="s">
        <v>280</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293</v>
      </c>
      <c r="B32" s="538"/>
      <c r="C32" s="538"/>
      <c r="D32" s="538"/>
      <c r="E32" s="538"/>
      <c r="F32" s="538"/>
      <c r="G32" s="538"/>
      <c r="H32" s="538"/>
      <c r="I32" s="538"/>
      <c r="J32" s="538"/>
      <c r="K32" s="538"/>
      <c r="L32" s="538"/>
      <c r="M32" s="538"/>
      <c r="N32" s="538"/>
      <c r="O32" s="538"/>
    </row>
    <row r="33" spans="1:16380" s="463" customFormat="1">
      <c r="A33" s="539" t="s">
        <v>238</v>
      </c>
      <c r="B33" s="540"/>
      <c r="C33" s="540"/>
      <c r="D33" s="540"/>
      <c r="E33" s="540"/>
      <c r="F33" s="540"/>
      <c r="G33" s="540"/>
      <c r="H33" s="540"/>
      <c r="I33" s="540"/>
      <c r="J33" s="540"/>
      <c r="K33" s="540"/>
      <c r="L33" s="540"/>
      <c r="M33" s="540"/>
      <c r="N33" s="540"/>
      <c r="O33" s="540"/>
    </row>
    <row r="34" spans="1:16380" s="464" customFormat="1">
      <c r="A34" s="374" t="s">
        <v>239</v>
      </c>
      <c r="B34" s="538"/>
      <c r="C34" s="538"/>
      <c r="D34" s="538"/>
      <c r="E34" s="538"/>
      <c r="F34" s="538"/>
      <c r="G34" s="538"/>
      <c r="H34" s="538"/>
      <c r="I34" s="538"/>
      <c r="J34" s="538"/>
      <c r="K34" s="538"/>
      <c r="L34" s="538"/>
      <c r="M34" s="538"/>
      <c r="N34" s="538"/>
      <c r="O34" s="538"/>
    </row>
    <row r="35" spans="1:16380" s="464" customFormat="1">
      <c r="A35" s="374" t="s">
        <v>240</v>
      </c>
      <c r="B35" s="538"/>
      <c r="C35" s="538"/>
      <c r="D35" s="538"/>
      <c r="E35" s="538"/>
      <c r="F35" s="538"/>
      <c r="G35" s="538"/>
      <c r="H35" s="538"/>
      <c r="I35" s="538"/>
      <c r="J35" s="538"/>
      <c r="K35" s="538"/>
      <c r="L35" s="538"/>
      <c r="M35" s="538"/>
      <c r="N35" s="538"/>
      <c r="O35" s="538"/>
    </row>
    <row r="36" spans="1:16380" s="464" customFormat="1">
      <c r="A36" s="374" t="s">
        <v>252</v>
      </c>
      <c r="B36" s="538"/>
      <c r="C36" s="538"/>
      <c r="D36" s="578"/>
      <c r="E36" s="538"/>
      <c r="F36" s="538"/>
      <c r="G36" s="538"/>
      <c r="H36" s="538"/>
      <c r="I36" s="538"/>
      <c r="J36" s="538"/>
      <c r="K36" s="538"/>
      <c r="L36" s="538"/>
      <c r="M36" s="538"/>
      <c r="N36" s="538"/>
      <c r="O36" s="538"/>
    </row>
    <row r="37" spans="1:16380" s="464" customFormat="1">
      <c r="A37" s="1072" t="s">
        <v>179</v>
      </c>
      <c r="B37" s="1072" t="s">
        <v>247</v>
      </c>
      <c r="C37" s="1072" t="s">
        <v>562</v>
      </c>
      <c r="D37" s="1072"/>
      <c r="E37" s="1072"/>
      <c r="F37" s="1072"/>
      <c r="G37" s="1072" t="s">
        <v>563</v>
      </c>
      <c r="H37" s="1072"/>
      <c r="I37" s="1072"/>
      <c r="J37" s="1072"/>
      <c r="K37" s="1072" t="s">
        <v>564</v>
      </c>
      <c r="L37" s="1072"/>
      <c r="M37" s="1072"/>
      <c r="N37" s="1072"/>
      <c r="O37" s="538"/>
    </row>
    <row r="38" spans="1:16380" s="464" customFormat="1" ht="65.25" customHeight="1">
      <c r="A38" s="1072"/>
      <c r="B38" s="1072"/>
      <c r="C38" s="563" t="s">
        <v>294</v>
      </c>
      <c r="D38" s="1073" t="s">
        <v>295</v>
      </c>
      <c r="E38" s="1074"/>
      <c r="F38" s="563" t="s">
        <v>296</v>
      </c>
      <c r="G38" s="563" t="s">
        <v>294</v>
      </c>
      <c r="H38" s="1073" t="s">
        <v>295</v>
      </c>
      <c r="I38" s="1074"/>
      <c r="J38" s="563" t="s">
        <v>296</v>
      </c>
      <c r="K38" s="563" t="s">
        <v>294</v>
      </c>
      <c r="L38" s="1073" t="s">
        <v>295</v>
      </c>
      <c r="M38" s="1074"/>
      <c r="N38" s="563" t="s">
        <v>296</v>
      </c>
      <c r="O38" s="538"/>
      <c r="P38" s="464" t="s">
        <v>297</v>
      </c>
    </row>
    <row r="39" spans="1:16380" s="464" customFormat="1" ht="25.5" hidden="1">
      <c r="A39" s="579">
        <v>1</v>
      </c>
      <c r="B39" s="564" t="s">
        <v>298</v>
      </c>
      <c r="C39" s="88">
        <f>F39/D39</f>
        <v>0</v>
      </c>
      <c r="D39" s="1059">
        <v>2.1999999999999999E-2</v>
      </c>
      <c r="E39" s="1060"/>
      <c r="F39" s="88">
        <v>0</v>
      </c>
      <c r="G39" s="88">
        <v>0</v>
      </c>
      <c r="H39" s="1059">
        <v>2.1999999999999999E-2</v>
      </c>
      <c r="I39" s="1060"/>
      <c r="J39" s="88">
        <v>0</v>
      </c>
      <c r="K39" s="88">
        <v>0</v>
      </c>
      <c r="L39" s="1059">
        <v>2.1999999999999999E-2</v>
      </c>
      <c r="M39" s="1060"/>
      <c r="N39" s="88">
        <v>0</v>
      </c>
      <c r="O39" s="538"/>
    </row>
    <row r="40" spans="1:16380" s="464" customFormat="1" ht="25.5">
      <c r="A40" s="563">
        <v>1</v>
      </c>
      <c r="B40" s="564" t="s">
        <v>299</v>
      </c>
      <c r="C40" s="88">
        <v>0</v>
      </c>
      <c r="D40" s="1059">
        <v>5.0000000000000001E-3</v>
      </c>
      <c r="E40" s="1060"/>
      <c r="F40" s="88">
        <f>ROUND(C40*D40,0)</f>
        <v>0</v>
      </c>
      <c r="G40" s="88">
        <v>0</v>
      </c>
      <c r="H40" s="1059">
        <v>5.0000000000000001E-3</v>
      </c>
      <c r="I40" s="1060"/>
      <c r="J40" s="88">
        <f>ROUND(G40*H40,0)</f>
        <v>0</v>
      </c>
      <c r="K40" s="88">
        <v>0</v>
      </c>
      <c r="L40" s="1059">
        <v>5.0000000000000001E-3</v>
      </c>
      <c r="M40" s="1060"/>
      <c r="N40" s="88">
        <f>ROUND(K40*L40,0)</f>
        <v>0</v>
      </c>
      <c r="O40" s="538"/>
      <c r="P40" s="464" t="s">
        <v>297</v>
      </c>
    </row>
    <row r="41" spans="1:16380" s="464" customFormat="1" ht="25.5">
      <c r="A41" s="563">
        <v>3</v>
      </c>
      <c r="B41" s="564" t="s">
        <v>300</v>
      </c>
      <c r="C41" s="88" t="s">
        <v>26</v>
      </c>
      <c r="D41" s="1059" t="s">
        <v>26</v>
      </c>
      <c r="E41" s="1060"/>
      <c r="F41" s="88">
        <v>0</v>
      </c>
      <c r="G41" s="88" t="s">
        <v>26</v>
      </c>
      <c r="H41" s="1059" t="s">
        <v>26</v>
      </c>
      <c r="I41" s="1060"/>
      <c r="J41" s="580">
        <v>0</v>
      </c>
      <c r="K41" s="88" t="s">
        <v>26</v>
      </c>
      <c r="L41" s="1059" t="s">
        <v>26</v>
      </c>
      <c r="M41" s="1060"/>
      <c r="N41" s="580">
        <v>0</v>
      </c>
      <c r="O41" s="538"/>
    </row>
    <row r="42" spans="1:16380" s="464" customFormat="1" ht="38.25">
      <c r="A42" s="563">
        <v>1</v>
      </c>
      <c r="B42" s="564" t="s">
        <v>573</v>
      </c>
      <c r="C42" s="88">
        <v>33377286.77</v>
      </c>
      <c r="D42" s="1075">
        <v>1.5E-3</v>
      </c>
      <c r="E42" s="1076"/>
      <c r="F42" s="88">
        <v>50065.93</v>
      </c>
      <c r="G42" s="88">
        <v>24782092.879999999</v>
      </c>
      <c r="H42" s="1075">
        <v>1.5E-3</v>
      </c>
      <c r="I42" s="1076"/>
      <c r="J42" s="88">
        <v>37173.14</v>
      </c>
      <c r="K42" s="88">
        <v>31978747.210000001</v>
      </c>
      <c r="L42" s="1075">
        <v>1.5E-3</v>
      </c>
      <c r="M42" s="1076"/>
      <c r="N42" s="88">
        <v>40682.78</v>
      </c>
      <c r="O42" s="538"/>
    </row>
    <row r="43" spans="1:16380" s="464" customFormat="1" ht="51">
      <c r="A43" s="563">
        <v>3</v>
      </c>
      <c r="B43" s="564" t="s">
        <v>574</v>
      </c>
      <c r="C43" s="88" t="s">
        <v>26</v>
      </c>
      <c r="D43" s="1075" t="s">
        <v>26</v>
      </c>
      <c r="E43" s="1076"/>
      <c r="F43" s="88">
        <v>800</v>
      </c>
      <c r="G43" s="88" t="s">
        <v>26</v>
      </c>
      <c r="H43" s="1075" t="s">
        <v>26</v>
      </c>
      <c r="I43" s="1076"/>
      <c r="J43" s="88">
        <v>0</v>
      </c>
      <c r="K43" s="88" t="s">
        <v>26</v>
      </c>
      <c r="L43" s="1075" t="s">
        <v>26</v>
      </c>
      <c r="M43" s="1076"/>
      <c r="N43" s="88">
        <v>0</v>
      </c>
      <c r="O43" s="538"/>
    </row>
    <row r="44" spans="1:16380" s="464" customFormat="1">
      <c r="A44" s="563"/>
      <c r="B44" s="563" t="s">
        <v>257</v>
      </c>
      <c r="C44" s="88" t="s">
        <v>26</v>
      </c>
      <c r="D44" s="1059" t="s">
        <v>26</v>
      </c>
      <c r="E44" s="1060"/>
      <c r="F44" s="88">
        <f>SUM(F39:F43)</f>
        <v>50865.93</v>
      </c>
      <c r="G44" s="88" t="s">
        <v>26</v>
      </c>
      <c r="H44" s="1059" t="s">
        <v>26</v>
      </c>
      <c r="I44" s="1060"/>
      <c r="J44" s="88">
        <f>J42</f>
        <v>37173.14</v>
      </c>
      <c r="K44" s="88" t="s">
        <v>26</v>
      </c>
      <c r="L44" s="1059" t="s">
        <v>26</v>
      </c>
      <c r="M44" s="1060"/>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243</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244</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245</v>
      </c>
      <c r="B48" s="538"/>
      <c r="C48" s="538"/>
      <c r="D48" s="538"/>
      <c r="E48" s="538"/>
      <c r="F48" s="538"/>
      <c r="G48" s="538"/>
      <c r="H48" s="538"/>
      <c r="I48" s="538"/>
      <c r="J48" s="538"/>
      <c r="K48" s="538"/>
      <c r="L48" s="538"/>
      <c r="M48" s="538"/>
      <c r="N48" s="538"/>
      <c r="O48" s="538"/>
    </row>
    <row r="49" spans="1:15" s="464" customFormat="1">
      <c r="A49" s="374" t="s">
        <v>252</v>
      </c>
      <c r="B49" s="538"/>
      <c r="C49" s="538"/>
      <c r="D49" s="538"/>
      <c r="E49" s="538"/>
      <c r="F49" s="538"/>
      <c r="G49" s="538"/>
      <c r="H49" s="538"/>
      <c r="I49" s="538"/>
      <c r="J49" s="538"/>
      <c r="K49" s="538"/>
      <c r="L49" s="538"/>
      <c r="M49" s="538"/>
      <c r="N49" s="538"/>
      <c r="O49" s="538"/>
    </row>
    <row r="50" spans="1:15" s="464" customFormat="1">
      <c r="A50" s="1072" t="s">
        <v>179</v>
      </c>
      <c r="B50" s="1072" t="s">
        <v>247</v>
      </c>
      <c r="C50" s="1072" t="s">
        <v>562</v>
      </c>
      <c r="D50" s="1072"/>
      <c r="E50" s="1072"/>
      <c r="F50" s="1072"/>
      <c r="G50" s="1072" t="s">
        <v>563</v>
      </c>
      <c r="H50" s="1072"/>
      <c r="I50" s="1072"/>
      <c r="J50" s="1072"/>
      <c r="K50" s="1072" t="s">
        <v>564</v>
      </c>
      <c r="L50" s="1072"/>
      <c r="M50" s="1072"/>
      <c r="N50" s="1072"/>
      <c r="O50" s="538"/>
    </row>
    <row r="51" spans="1:15" s="464" customFormat="1" ht="63.75">
      <c r="A51" s="1072"/>
      <c r="B51" s="1072"/>
      <c r="C51" s="563" t="s">
        <v>294</v>
      </c>
      <c r="D51" s="1073" t="s">
        <v>295</v>
      </c>
      <c r="E51" s="1074"/>
      <c r="F51" s="563" t="s">
        <v>296</v>
      </c>
      <c r="G51" s="563" t="s">
        <v>294</v>
      </c>
      <c r="H51" s="1073" t="s">
        <v>295</v>
      </c>
      <c r="I51" s="1074"/>
      <c r="J51" s="563" t="s">
        <v>296</v>
      </c>
      <c r="K51" s="563" t="s">
        <v>294</v>
      </c>
      <c r="L51" s="1073" t="s">
        <v>295</v>
      </c>
      <c r="M51" s="1074"/>
      <c r="N51" s="563" t="s">
        <v>296</v>
      </c>
      <c r="O51" s="538"/>
    </row>
    <row r="52" spans="1:15" s="464" customFormat="1" ht="38.25">
      <c r="A52" s="563">
        <v>1</v>
      </c>
      <c r="B52" s="564" t="s">
        <v>864</v>
      </c>
      <c r="C52" s="88">
        <v>4526126.91</v>
      </c>
      <c r="D52" s="1075">
        <v>1.5E-3</v>
      </c>
      <c r="E52" s="1076"/>
      <c r="F52" s="88">
        <v>6460.4</v>
      </c>
      <c r="G52" s="88">
        <v>4892473.47</v>
      </c>
      <c r="H52" s="1075">
        <v>1.5E-3</v>
      </c>
      <c r="I52" s="1076"/>
      <c r="J52" s="88">
        <v>6460.4</v>
      </c>
      <c r="K52" s="88">
        <v>4856891.72</v>
      </c>
      <c r="L52" s="1075">
        <v>1.5E-3</v>
      </c>
      <c r="M52" s="1076"/>
      <c r="N52" s="88">
        <v>6460.4</v>
      </c>
      <c r="O52" s="538"/>
    </row>
    <row r="53" spans="1:15" s="464" customFormat="1" ht="25.5">
      <c r="A53" s="563">
        <v>2</v>
      </c>
      <c r="B53" s="564" t="s">
        <v>300</v>
      </c>
      <c r="C53" s="88" t="s">
        <v>26</v>
      </c>
      <c r="D53" s="1059" t="s">
        <v>26</v>
      </c>
      <c r="E53" s="1060"/>
      <c r="F53" s="88">
        <v>0</v>
      </c>
      <c r="G53" s="88" t="s">
        <v>26</v>
      </c>
      <c r="H53" s="1059" t="s">
        <v>26</v>
      </c>
      <c r="I53" s="1060"/>
      <c r="J53" s="580">
        <v>0</v>
      </c>
      <c r="K53" s="88" t="s">
        <v>26</v>
      </c>
      <c r="L53" s="1059" t="s">
        <v>26</v>
      </c>
      <c r="M53" s="1060"/>
      <c r="N53" s="580">
        <v>0</v>
      </c>
      <c r="O53" s="538"/>
    </row>
    <row r="54" spans="1:15" s="464" customFormat="1" ht="38.25">
      <c r="A54" s="563">
        <v>3</v>
      </c>
      <c r="B54" s="564" t="s">
        <v>487</v>
      </c>
      <c r="C54" s="88" t="s">
        <v>26</v>
      </c>
      <c r="D54" s="1059" t="s">
        <v>26</v>
      </c>
      <c r="E54" s="1060"/>
      <c r="F54" s="88">
        <v>0</v>
      </c>
      <c r="G54" s="88" t="s">
        <v>26</v>
      </c>
      <c r="H54" s="1059" t="s">
        <v>26</v>
      </c>
      <c r="I54" s="1060"/>
      <c r="J54" s="580">
        <v>0</v>
      </c>
      <c r="K54" s="88" t="s">
        <v>26</v>
      </c>
      <c r="L54" s="1059" t="s">
        <v>26</v>
      </c>
      <c r="M54" s="1060"/>
      <c r="N54" s="580">
        <v>0</v>
      </c>
      <c r="O54" s="538"/>
    </row>
    <row r="55" spans="1:15" s="464" customFormat="1" ht="38.25">
      <c r="A55" s="563">
        <v>4</v>
      </c>
      <c r="B55" s="564" t="s">
        <v>538</v>
      </c>
      <c r="C55" s="88" t="s">
        <v>26</v>
      </c>
      <c r="D55" s="1059" t="s">
        <v>26</v>
      </c>
      <c r="E55" s="1060"/>
      <c r="F55" s="88">
        <v>0</v>
      </c>
      <c r="G55" s="88" t="s">
        <v>26</v>
      </c>
      <c r="H55" s="1059" t="s">
        <v>26</v>
      </c>
      <c r="I55" s="1060"/>
      <c r="J55" s="580">
        <v>0</v>
      </c>
      <c r="K55" s="88" t="s">
        <v>26</v>
      </c>
      <c r="L55" s="1059" t="s">
        <v>26</v>
      </c>
      <c r="M55" s="1060"/>
      <c r="N55" s="580">
        <v>0</v>
      </c>
      <c r="O55" s="538"/>
    </row>
    <row r="56" spans="1:15" s="464" customFormat="1" hidden="1">
      <c r="A56" s="563"/>
      <c r="B56" s="564"/>
      <c r="C56" s="88"/>
      <c r="D56" s="1059"/>
      <c r="E56" s="1060"/>
      <c r="F56" s="88"/>
      <c r="G56" s="88"/>
      <c r="H56" s="1059"/>
      <c r="I56" s="1060"/>
      <c r="J56" s="580"/>
      <c r="K56" s="88"/>
      <c r="L56" s="1059"/>
      <c r="M56" s="1060"/>
      <c r="N56" s="580"/>
      <c r="O56" s="538"/>
    </row>
    <row r="57" spans="1:15" s="464" customFormat="1">
      <c r="A57" s="563"/>
      <c r="B57" s="563" t="s">
        <v>257</v>
      </c>
      <c r="C57" s="88" t="s">
        <v>26</v>
      </c>
      <c r="D57" s="1059" t="s">
        <v>26</v>
      </c>
      <c r="E57" s="1060"/>
      <c r="F57" s="88">
        <f>SUM(F52:F56)</f>
        <v>6460.4</v>
      </c>
      <c r="G57" s="88" t="s">
        <v>26</v>
      </c>
      <c r="H57" s="1059" t="s">
        <v>26</v>
      </c>
      <c r="I57" s="1060"/>
      <c r="J57" s="88">
        <f>SUM(J52:J55)</f>
        <v>6460.4</v>
      </c>
      <c r="K57" s="88" t="s">
        <v>26</v>
      </c>
      <c r="L57" s="1059" t="s">
        <v>26</v>
      </c>
      <c r="M57" s="1060"/>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301</v>
      </c>
      <c r="B59" s="538"/>
      <c r="C59" s="538"/>
      <c r="D59" s="538"/>
      <c r="E59" s="538"/>
      <c r="F59" s="538"/>
      <c r="G59" s="538"/>
      <c r="H59" s="538"/>
      <c r="I59" s="538"/>
      <c r="J59" s="538"/>
      <c r="K59" s="538"/>
      <c r="L59" s="538"/>
      <c r="M59" s="538"/>
      <c r="N59" s="538"/>
      <c r="O59" s="538"/>
    </row>
    <row r="60" spans="1:15" s="121" customFormat="1" hidden="1">
      <c r="A60" s="374" t="s">
        <v>291</v>
      </c>
      <c r="B60" s="538"/>
      <c r="C60" s="538"/>
      <c r="D60" s="538"/>
      <c r="E60" s="538"/>
      <c r="F60" s="538"/>
      <c r="G60" s="538"/>
      <c r="H60" s="538"/>
      <c r="I60" s="538"/>
      <c r="J60" s="538"/>
      <c r="K60" s="538"/>
      <c r="L60" s="538"/>
      <c r="M60" s="538"/>
      <c r="N60" s="538"/>
      <c r="O60" s="538"/>
    </row>
    <row r="61" spans="1:15" s="121" customFormat="1" ht="25.5" hidden="1" customHeight="1">
      <c r="A61" s="583" t="s">
        <v>292</v>
      </c>
      <c r="B61" s="538"/>
      <c r="C61" s="538"/>
      <c r="D61" s="538"/>
      <c r="E61" s="538"/>
      <c r="F61" s="538"/>
      <c r="G61" s="538"/>
      <c r="H61" s="538"/>
      <c r="I61" s="538"/>
      <c r="J61" s="538"/>
      <c r="K61" s="538"/>
      <c r="L61" s="538"/>
      <c r="M61" s="538"/>
      <c r="N61" s="538"/>
      <c r="O61" s="538"/>
    </row>
    <row r="62" spans="1:15" s="121" customFormat="1" ht="31.5" hidden="1" customHeight="1">
      <c r="A62" s="1072" t="s">
        <v>179</v>
      </c>
      <c r="B62" s="1072" t="s">
        <v>247</v>
      </c>
      <c r="C62" s="1072" t="s">
        <v>277</v>
      </c>
      <c r="D62" s="1072"/>
      <c r="E62" s="563"/>
      <c r="F62" s="1072" t="s">
        <v>278</v>
      </c>
      <c r="G62" s="1072"/>
      <c r="H62" s="1072" t="s">
        <v>279</v>
      </c>
      <c r="I62" s="1072"/>
      <c r="J62" s="1072"/>
      <c r="K62" s="538"/>
      <c r="L62" s="538"/>
      <c r="M62" s="538"/>
      <c r="N62" s="538"/>
      <c r="O62" s="538"/>
    </row>
    <row r="63" spans="1:15" s="121" customFormat="1" ht="25.5" hidden="1" customHeight="1">
      <c r="A63" s="1072"/>
      <c r="B63" s="1072"/>
      <c r="C63" s="1072" t="s">
        <v>302</v>
      </c>
      <c r="D63" s="563" t="s">
        <v>303</v>
      </c>
      <c r="E63" s="563"/>
      <c r="F63" s="1072" t="s">
        <v>302</v>
      </c>
      <c r="G63" s="563" t="s">
        <v>303</v>
      </c>
      <c r="H63" s="1072" t="s">
        <v>302</v>
      </c>
      <c r="I63" s="563"/>
      <c r="J63" s="563" t="s">
        <v>303</v>
      </c>
      <c r="K63" s="538"/>
      <c r="L63" s="538"/>
      <c r="M63" s="538"/>
      <c r="N63" s="538"/>
      <c r="O63" s="538"/>
    </row>
    <row r="64" spans="1:15" s="121" customFormat="1" hidden="1">
      <c r="A64" s="1072"/>
      <c r="B64" s="1072"/>
      <c r="C64" s="1072"/>
      <c r="D64" s="563" t="s">
        <v>304</v>
      </c>
      <c r="E64" s="563"/>
      <c r="F64" s="1072"/>
      <c r="G64" s="563" t="s">
        <v>304</v>
      </c>
      <c r="H64" s="1072"/>
      <c r="I64" s="563"/>
      <c r="J64" s="563" t="s">
        <v>304</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305</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306</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238</v>
      </c>
      <c r="B72" s="540"/>
      <c r="C72" s="540"/>
      <c r="D72" s="540"/>
      <c r="E72" s="540"/>
      <c r="F72" s="540"/>
      <c r="G72" s="540"/>
      <c r="H72" s="540"/>
      <c r="I72" s="540"/>
      <c r="J72" s="540"/>
      <c r="K72" s="540"/>
      <c r="L72" s="540"/>
      <c r="M72" s="540"/>
      <c r="N72" s="540"/>
      <c r="O72" s="540"/>
    </row>
    <row r="73" spans="1:15" s="464" customFormat="1" ht="15.75" customHeight="1">
      <c r="A73" s="374" t="s">
        <v>239</v>
      </c>
      <c r="B73" s="538"/>
      <c r="C73" s="538"/>
      <c r="D73" s="538"/>
      <c r="E73" s="538"/>
      <c r="F73" s="538"/>
      <c r="G73" s="538"/>
      <c r="H73" s="538"/>
      <c r="I73" s="538"/>
      <c r="J73" s="538"/>
      <c r="K73" s="538"/>
      <c r="L73" s="538"/>
      <c r="M73" s="538"/>
      <c r="N73" s="538"/>
      <c r="O73" s="538"/>
    </row>
    <row r="74" spans="1:15" s="464" customFormat="1" ht="15.75" customHeight="1">
      <c r="A74" s="374" t="s">
        <v>240</v>
      </c>
      <c r="B74" s="538"/>
      <c r="C74" s="538"/>
      <c r="D74" s="538"/>
      <c r="E74" s="538"/>
      <c r="F74" s="538"/>
      <c r="G74" s="538"/>
      <c r="H74" s="538"/>
      <c r="I74" s="538"/>
      <c r="J74" s="538"/>
      <c r="K74" s="538"/>
      <c r="L74" s="538"/>
      <c r="M74" s="538"/>
      <c r="N74" s="538"/>
      <c r="O74" s="538"/>
    </row>
    <row r="75" spans="1:15" s="464" customFormat="1">
      <c r="A75" s="374" t="s">
        <v>307</v>
      </c>
      <c r="B75" s="538"/>
      <c r="C75" s="538"/>
      <c r="D75" s="538"/>
      <c r="E75" s="538"/>
      <c r="F75" s="538"/>
      <c r="G75" s="538"/>
      <c r="H75" s="538"/>
      <c r="I75" s="538"/>
      <c r="J75" s="538"/>
      <c r="K75" s="538"/>
      <c r="L75" s="538"/>
      <c r="M75" s="538"/>
      <c r="N75" s="538"/>
      <c r="O75" s="538"/>
    </row>
    <row r="76" spans="1:15" s="464" customFormat="1">
      <c r="A76" s="1072" t="s">
        <v>179</v>
      </c>
      <c r="B76" s="1072" t="s">
        <v>247</v>
      </c>
      <c r="C76" s="1072" t="s">
        <v>215</v>
      </c>
      <c r="D76" s="1072" t="s">
        <v>562</v>
      </c>
      <c r="E76" s="1072"/>
      <c r="F76" s="1072"/>
      <c r="G76" s="1072"/>
      <c r="H76" s="1072" t="s">
        <v>563</v>
      </c>
      <c r="I76" s="1072"/>
      <c r="J76" s="1072"/>
      <c r="K76" s="1072"/>
      <c r="L76" s="1072" t="s">
        <v>564</v>
      </c>
      <c r="M76" s="1072"/>
      <c r="N76" s="1072"/>
      <c r="O76" s="1072"/>
    </row>
    <row r="77" spans="1:15" s="464" customFormat="1" ht="15" customHeight="1">
      <c r="A77" s="1072"/>
      <c r="B77" s="1072"/>
      <c r="C77" s="1072"/>
      <c r="D77" s="1072" t="s">
        <v>308</v>
      </c>
      <c r="E77" s="1072" t="s">
        <v>309</v>
      </c>
      <c r="F77" s="1072" t="s">
        <v>310</v>
      </c>
      <c r="G77" s="1072" t="s">
        <v>250</v>
      </c>
      <c r="H77" s="1072" t="s">
        <v>308</v>
      </c>
      <c r="I77" s="1072" t="s">
        <v>309</v>
      </c>
      <c r="J77" s="1072" t="s">
        <v>310</v>
      </c>
      <c r="K77" s="1072" t="s">
        <v>311</v>
      </c>
      <c r="L77" s="1072" t="s">
        <v>308</v>
      </c>
      <c r="M77" s="1072" t="s">
        <v>312</v>
      </c>
      <c r="N77" s="1072" t="s">
        <v>310</v>
      </c>
      <c r="O77" s="1072" t="s">
        <v>311</v>
      </c>
    </row>
    <row r="78" spans="1:15" s="464" customFormat="1" ht="6.75" customHeight="1">
      <c r="A78" s="1072"/>
      <c r="B78" s="1072"/>
      <c r="C78" s="1072"/>
      <c r="D78" s="1072"/>
      <c r="E78" s="1072"/>
      <c r="F78" s="1072"/>
      <c r="G78" s="1072"/>
      <c r="H78" s="1072"/>
      <c r="I78" s="1072"/>
      <c r="J78" s="1072"/>
      <c r="K78" s="1072"/>
      <c r="L78" s="1072"/>
      <c r="M78" s="1072"/>
      <c r="N78" s="1072"/>
      <c r="O78" s="1072"/>
    </row>
    <row r="79" spans="1:15" s="464" customFormat="1" ht="18.75" customHeight="1">
      <c r="A79" s="1072"/>
      <c r="B79" s="1072"/>
      <c r="C79" s="1072"/>
      <c r="D79" s="1072"/>
      <c r="E79" s="1072"/>
      <c r="F79" s="1072"/>
      <c r="G79" s="1072"/>
      <c r="H79" s="1072"/>
      <c r="I79" s="1072"/>
      <c r="J79" s="1072"/>
      <c r="K79" s="1072"/>
      <c r="L79" s="1072"/>
      <c r="M79" s="1072"/>
      <c r="N79" s="1072"/>
      <c r="O79" s="1072"/>
    </row>
    <row r="80" spans="1:15" s="464" customFormat="1" ht="51">
      <c r="A80" s="562">
        <v>1</v>
      </c>
      <c r="B80" s="563" t="s">
        <v>313</v>
      </c>
      <c r="C80" s="562" t="s">
        <v>314</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315</v>
      </c>
      <c r="C81" s="562" t="s">
        <v>316</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317</v>
      </c>
      <c r="C82" s="562" t="s">
        <v>316</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72" t="s">
        <v>318</v>
      </c>
      <c r="C83" s="927" t="s">
        <v>319</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72"/>
      <c r="C84" s="927"/>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72">
        <v>2</v>
      </c>
      <c r="B85" s="1072" t="s">
        <v>320</v>
      </c>
      <c r="C85" s="927" t="s">
        <v>321</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72"/>
      <c r="B86" s="1072"/>
      <c r="C86" s="927"/>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72" t="s">
        <v>322</v>
      </c>
      <c r="C87" s="562" t="s">
        <v>323</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72"/>
      <c r="C88" s="562" t="s">
        <v>323</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257</v>
      </c>
      <c r="C89" s="562" t="s">
        <v>26</v>
      </c>
      <c r="D89" s="563" t="s">
        <v>26</v>
      </c>
      <c r="E89" s="562" t="s">
        <v>26</v>
      </c>
      <c r="F89" s="588" t="s">
        <v>26</v>
      </c>
      <c r="G89" s="588">
        <f>SUM(G80:G88)</f>
        <v>212942.4</v>
      </c>
      <c r="H89" s="588" t="s">
        <v>26</v>
      </c>
      <c r="I89" s="562" t="s">
        <v>26</v>
      </c>
      <c r="J89" s="588" t="s">
        <v>26</v>
      </c>
      <c r="K89" s="588">
        <f>SUM(K80:K88)</f>
        <v>218702.4</v>
      </c>
      <c r="L89" s="562" t="s">
        <v>26</v>
      </c>
      <c r="M89" s="562" t="s">
        <v>26</v>
      </c>
      <c r="N89" s="588" t="s">
        <v>26</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243</v>
      </c>
      <c r="B91" s="544"/>
      <c r="C91" s="544"/>
      <c r="D91" s="544"/>
      <c r="E91" s="544"/>
      <c r="F91" s="544"/>
      <c r="G91" s="544"/>
      <c r="H91" s="544"/>
      <c r="I91" s="544"/>
      <c r="J91" s="544"/>
      <c r="K91" s="544"/>
      <c r="L91" s="544"/>
      <c r="M91" s="544"/>
      <c r="N91" s="544"/>
      <c r="O91" s="544"/>
    </row>
    <row r="92" spans="1:17">
      <c r="A92" s="374" t="s">
        <v>244</v>
      </c>
      <c r="B92" s="538"/>
      <c r="C92" s="538"/>
      <c r="D92" s="538"/>
      <c r="E92" s="538"/>
      <c r="F92" s="538"/>
      <c r="G92" s="538"/>
      <c r="H92" s="538"/>
      <c r="I92" s="538"/>
      <c r="J92" s="538"/>
      <c r="K92" s="538"/>
      <c r="L92" s="538"/>
      <c r="M92" s="538"/>
      <c r="N92" s="538"/>
      <c r="O92" s="538"/>
    </row>
    <row r="93" spans="1:17">
      <c r="A93" s="374" t="s">
        <v>245</v>
      </c>
      <c r="B93" s="538"/>
      <c r="C93" s="538"/>
      <c r="D93" s="538"/>
      <c r="E93" s="538"/>
      <c r="F93" s="538"/>
      <c r="G93" s="538"/>
      <c r="H93" s="538"/>
      <c r="I93" s="538"/>
      <c r="J93" s="538"/>
      <c r="K93" s="538"/>
      <c r="L93" s="538"/>
      <c r="M93" s="538"/>
      <c r="N93" s="538"/>
      <c r="O93" s="538"/>
    </row>
    <row r="94" spans="1:17">
      <c r="A94" s="374" t="s">
        <v>307</v>
      </c>
      <c r="B94" s="538"/>
      <c r="C94" s="538"/>
      <c r="D94" s="538"/>
      <c r="E94" s="538"/>
      <c r="F94" s="538"/>
      <c r="G94" s="538"/>
      <c r="H94" s="538"/>
      <c r="I94" s="538"/>
      <c r="J94" s="538"/>
      <c r="K94" s="538"/>
      <c r="L94" s="538"/>
      <c r="M94" s="538"/>
      <c r="N94" s="538"/>
      <c r="O94" s="538"/>
    </row>
    <row r="95" spans="1:17" ht="27" customHeight="1">
      <c r="A95" s="1072" t="s">
        <v>179</v>
      </c>
      <c r="B95" s="1072" t="s">
        <v>247</v>
      </c>
      <c r="C95" s="1072" t="s">
        <v>215</v>
      </c>
      <c r="D95" s="1072" t="s">
        <v>562</v>
      </c>
      <c r="E95" s="1072"/>
      <c r="F95" s="1072"/>
      <c r="G95" s="1072"/>
      <c r="H95" s="1072" t="s">
        <v>563</v>
      </c>
      <c r="I95" s="1072"/>
      <c r="J95" s="1072"/>
      <c r="K95" s="1072"/>
      <c r="L95" s="1072" t="s">
        <v>564</v>
      </c>
      <c r="M95" s="1072"/>
      <c r="N95" s="1072"/>
      <c r="O95" s="1072"/>
    </row>
    <row r="96" spans="1:17" ht="15" customHeight="1">
      <c r="A96" s="1072"/>
      <c r="B96" s="1072"/>
      <c r="C96" s="1072"/>
      <c r="D96" s="1072" t="s">
        <v>308</v>
      </c>
      <c r="E96" s="1072" t="s">
        <v>309</v>
      </c>
      <c r="F96" s="1072" t="s">
        <v>310</v>
      </c>
      <c r="G96" s="1072" t="s">
        <v>250</v>
      </c>
      <c r="H96" s="1072" t="s">
        <v>308</v>
      </c>
      <c r="I96" s="1072" t="s">
        <v>309</v>
      </c>
      <c r="J96" s="1072" t="s">
        <v>310</v>
      </c>
      <c r="K96" s="1072" t="s">
        <v>311</v>
      </c>
      <c r="L96" s="1072" t="s">
        <v>308</v>
      </c>
      <c r="M96" s="1072" t="s">
        <v>312</v>
      </c>
      <c r="N96" s="1072" t="s">
        <v>310</v>
      </c>
      <c r="O96" s="1072" t="s">
        <v>311</v>
      </c>
    </row>
    <row r="97" spans="1:15" ht="6.75" customHeight="1">
      <c r="A97" s="1072"/>
      <c r="B97" s="1072"/>
      <c r="C97" s="1072"/>
      <c r="D97" s="1072"/>
      <c r="E97" s="1072"/>
      <c r="F97" s="1072"/>
      <c r="G97" s="1072"/>
      <c r="H97" s="1072"/>
      <c r="I97" s="1072"/>
      <c r="J97" s="1072"/>
      <c r="K97" s="1072"/>
      <c r="L97" s="1072"/>
      <c r="M97" s="1072"/>
      <c r="N97" s="1072"/>
      <c r="O97" s="1072"/>
    </row>
    <row r="98" spans="1:15">
      <c r="A98" s="1072"/>
      <c r="B98" s="1072"/>
      <c r="C98" s="1072"/>
      <c r="D98" s="1072"/>
      <c r="E98" s="1072"/>
      <c r="F98" s="1072"/>
      <c r="G98" s="1072"/>
      <c r="H98" s="1072"/>
      <c r="I98" s="1072"/>
      <c r="J98" s="1072"/>
      <c r="K98" s="1072"/>
      <c r="L98" s="1072"/>
      <c r="M98" s="1072"/>
      <c r="N98" s="1072"/>
      <c r="O98" s="1072"/>
    </row>
    <row r="99" spans="1:15" s="111" customFormat="1" ht="89.25" customHeight="1">
      <c r="A99" s="562">
        <v>1</v>
      </c>
      <c r="B99" s="563" t="s">
        <v>313</v>
      </c>
      <c r="C99" s="562" t="s">
        <v>314</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315</v>
      </c>
      <c r="C100" s="562" t="s">
        <v>316</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317</v>
      </c>
      <c r="C101" s="562" t="s">
        <v>316</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72" t="s">
        <v>318</v>
      </c>
      <c r="C102" s="927" t="s">
        <v>319</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72"/>
      <c r="C103" s="927"/>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72">
        <v>2</v>
      </c>
      <c r="B104" s="1072" t="s">
        <v>320</v>
      </c>
      <c r="C104" s="927" t="s">
        <v>321</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72"/>
      <c r="B105" s="1072"/>
      <c r="C105" s="927"/>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72" t="s">
        <v>322</v>
      </c>
      <c r="C106" s="562" t="s">
        <v>323</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72"/>
      <c r="C107" s="562" t="s">
        <v>323</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257</v>
      </c>
      <c r="C108" s="562" t="s">
        <v>26</v>
      </c>
      <c r="D108" s="563" t="s">
        <v>26</v>
      </c>
      <c r="E108" s="562" t="s">
        <v>26</v>
      </c>
      <c r="F108" s="588" t="s">
        <v>26</v>
      </c>
      <c r="G108" s="588">
        <f>SUM(G99:G107)</f>
        <v>0</v>
      </c>
      <c r="H108" s="588" t="s">
        <v>26</v>
      </c>
      <c r="I108" s="562" t="s">
        <v>26</v>
      </c>
      <c r="J108" s="588" t="s">
        <v>26</v>
      </c>
      <c r="K108" s="588">
        <f>SUM(K99:K107)</f>
        <v>0</v>
      </c>
      <c r="L108" s="562" t="s">
        <v>26</v>
      </c>
      <c r="M108" s="562" t="s">
        <v>26</v>
      </c>
      <c r="N108" s="588" t="s">
        <v>26</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324</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238</v>
      </c>
      <c r="B112" s="540"/>
      <c r="C112" s="540"/>
      <c r="D112" s="540"/>
      <c r="E112" s="540"/>
      <c r="F112" s="540"/>
      <c r="G112" s="540"/>
      <c r="H112" s="540"/>
      <c r="I112" s="540"/>
      <c r="J112" s="540"/>
      <c r="K112" s="540"/>
      <c r="L112" s="540"/>
      <c r="M112" s="540"/>
      <c r="N112" s="540"/>
      <c r="O112" s="591"/>
    </row>
    <row r="113" spans="1:19" s="464" customFormat="1">
      <c r="A113" s="374" t="s">
        <v>239</v>
      </c>
      <c r="B113" s="538"/>
      <c r="C113" s="538"/>
      <c r="D113" s="538"/>
      <c r="E113" s="538"/>
      <c r="F113" s="538"/>
      <c r="G113" s="538"/>
      <c r="H113" s="538"/>
      <c r="I113" s="538"/>
      <c r="J113" s="538"/>
      <c r="K113" s="538"/>
      <c r="L113" s="538"/>
      <c r="M113" s="538"/>
      <c r="N113" s="538"/>
      <c r="O113" s="591"/>
    </row>
    <row r="114" spans="1:19" s="464" customFormat="1">
      <c r="A114" s="374" t="s">
        <v>240</v>
      </c>
      <c r="B114" s="538"/>
      <c r="C114" s="538"/>
      <c r="D114" s="538"/>
      <c r="E114" s="538"/>
      <c r="F114" s="542"/>
      <c r="G114" s="538"/>
      <c r="H114" s="538"/>
      <c r="I114" s="538"/>
      <c r="J114" s="538"/>
      <c r="K114" s="538"/>
      <c r="L114" s="538"/>
      <c r="M114" s="538"/>
      <c r="N114" s="538"/>
      <c r="O114" s="591"/>
    </row>
    <row r="115" spans="1:19" s="464" customFormat="1">
      <c r="A115" s="374" t="s">
        <v>325</v>
      </c>
      <c r="B115" s="538"/>
      <c r="C115" s="538"/>
      <c r="D115" s="538"/>
      <c r="E115" s="538"/>
      <c r="F115" s="542"/>
      <c r="G115" s="538"/>
      <c r="H115" s="538"/>
      <c r="I115" s="538"/>
      <c r="J115" s="538"/>
      <c r="K115" s="538"/>
      <c r="L115" s="538"/>
      <c r="M115" s="538"/>
      <c r="N115" s="538"/>
      <c r="O115" s="591"/>
    </row>
    <row r="116" spans="1:19" s="464" customFormat="1">
      <c r="A116" s="1072" t="s">
        <v>179</v>
      </c>
      <c r="B116" s="1072" t="s">
        <v>247</v>
      </c>
      <c r="C116" s="1072" t="s">
        <v>562</v>
      </c>
      <c r="D116" s="1072"/>
      <c r="E116" s="1072"/>
      <c r="F116" s="1072"/>
      <c r="G116" s="1072" t="s">
        <v>563</v>
      </c>
      <c r="H116" s="1072"/>
      <c r="I116" s="1072"/>
      <c r="J116" s="1072"/>
      <c r="K116" s="1072" t="s">
        <v>564</v>
      </c>
      <c r="L116" s="1072"/>
      <c r="M116" s="1072"/>
      <c r="N116" s="1072"/>
      <c r="O116" s="591"/>
    </row>
    <row r="117" spans="1:19" s="464" customFormat="1" ht="24.75" customHeight="1">
      <c r="A117" s="1072"/>
      <c r="B117" s="1072"/>
      <c r="C117" s="563" t="s">
        <v>326</v>
      </c>
      <c r="D117" s="1077" t="s">
        <v>327</v>
      </c>
      <c r="E117" s="1078"/>
      <c r="F117" s="541" t="s">
        <v>250</v>
      </c>
      <c r="G117" s="541" t="s">
        <v>326</v>
      </c>
      <c r="H117" s="1073" t="s">
        <v>327</v>
      </c>
      <c r="I117" s="1074"/>
      <c r="J117" s="563" t="s">
        <v>250</v>
      </c>
      <c r="K117" s="563" t="s">
        <v>326</v>
      </c>
      <c r="L117" s="1073" t="s">
        <v>327</v>
      </c>
      <c r="M117" s="1074"/>
      <c r="N117" s="563" t="s">
        <v>250</v>
      </c>
      <c r="O117" s="591"/>
    </row>
    <row r="118" spans="1:19" s="464" customFormat="1">
      <c r="A118" s="563">
        <v>1</v>
      </c>
      <c r="B118" s="564" t="s">
        <v>328</v>
      </c>
      <c r="C118" s="580">
        <f>F118/D118</f>
        <v>3845</v>
      </c>
      <c r="D118" s="1079">
        <v>22.67</v>
      </c>
      <c r="E118" s="1080"/>
      <c r="F118" s="284">
        <f>72167.86+15000</f>
        <v>87167.86</v>
      </c>
      <c r="G118" s="592">
        <v>3183</v>
      </c>
      <c r="H118" s="1081">
        <v>22.67</v>
      </c>
      <c r="I118" s="1082"/>
      <c r="J118" s="530">
        <v>72167.86</v>
      </c>
      <c r="K118" s="580">
        <v>3183</v>
      </c>
      <c r="L118" s="1081">
        <v>22.67</v>
      </c>
      <c r="M118" s="1082"/>
      <c r="N118" s="530">
        <v>72167.86</v>
      </c>
      <c r="O118" s="591"/>
    </row>
    <row r="119" spans="1:19" s="464" customFormat="1">
      <c r="A119" s="563">
        <v>2</v>
      </c>
      <c r="B119" s="564" t="s">
        <v>329</v>
      </c>
      <c r="C119" s="580">
        <f>F119/D119</f>
        <v>237</v>
      </c>
      <c r="D119" s="1079">
        <v>651.5</v>
      </c>
      <c r="E119" s="1080"/>
      <c r="F119" s="284">
        <f>111407.4+42734.29</f>
        <v>154141.69</v>
      </c>
      <c r="G119" s="593">
        <v>171</v>
      </c>
      <c r="H119" s="1083">
        <v>651.5</v>
      </c>
      <c r="I119" s="1084"/>
      <c r="J119" s="530">
        <v>111407.4</v>
      </c>
      <c r="K119" s="594">
        <v>171</v>
      </c>
      <c r="L119" s="1083">
        <v>651.5</v>
      </c>
      <c r="M119" s="1084"/>
      <c r="N119" s="530">
        <v>111407.4</v>
      </c>
      <c r="O119" s="591"/>
    </row>
    <row r="120" spans="1:19" s="464" customFormat="1">
      <c r="A120" s="595"/>
      <c r="B120" s="596" t="s">
        <v>257</v>
      </c>
      <c r="C120" s="597" t="s">
        <v>26</v>
      </c>
      <c r="D120" s="1079" t="s">
        <v>26</v>
      </c>
      <c r="E120" s="1080"/>
      <c r="F120" s="284">
        <f>SUM(F118:F119)</f>
        <v>241309.55</v>
      </c>
      <c r="G120" s="598" t="s">
        <v>26</v>
      </c>
      <c r="H120" s="1081" t="s">
        <v>26</v>
      </c>
      <c r="I120" s="1082"/>
      <c r="J120" s="530">
        <f>SUM(J118:J119)</f>
        <v>183575.26</v>
      </c>
      <c r="K120" s="597" t="s">
        <v>26</v>
      </c>
      <c r="L120" s="1081" t="s">
        <v>26</v>
      </c>
      <c r="M120" s="1082"/>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243</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244</v>
      </c>
      <c r="B123" s="538"/>
      <c r="C123" s="538"/>
      <c r="D123" s="538"/>
      <c r="E123" s="538"/>
      <c r="F123" s="538"/>
      <c r="G123" s="538"/>
      <c r="H123" s="538"/>
      <c r="I123" s="538"/>
      <c r="J123" s="538"/>
      <c r="K123" s="538"/>
      <c r="L123" s="538"/>
      <c r="M123" s="538"/>
      <c r="N123" s="538"/>
      <c r="O123" s="591"/>
    </row>
    <row r="124" spans="1:19" s="464" customFormat="1">
      <c r="A124" s="374" t="s">
        <v>245</v>
      </c>
      <c r="B124" s="538"/>
      <c r="C124" s="538"/>
      <c r="D124" s="538"/>
      <c r="E124" s="538"/>
      <c r="F124" s="538"/>
      <c r="G124" s="538"/>
      <c r="H124" s="538"/>
      <c r="I124" s="538"/>
      <c r="J124" s="538"/>
      <c r="K124" s="538"/>
      <c r="L124" s="538"/>
      <c r="M124" s="538"/>
      <c r="N124" s="538"/>
      <c r="O124" s="591"/>
    </row>
    <row r="125" spans="1:19" s="464" customFormat="1">
      <c r="A125" s="374" t="s">
        <v>325</v>
      </c>
      <c r="B125" s="538"/>
      <c r="C125" s="538"/>
      <c r="D125" s="538"/>
      <c r="E125" s="538"/>
      <c r="F125" s="538"/>
      <c r="G125" s="538"/>
      <c r="H125" s="538"/>
      <c r="I125" s="538"/>
      <c r="J125" s="538"/>
      <c r="K125" s="538"/>
      <c r="L125" s="538"/>
      <c r="M125" s="538"/>
      <c r="N125" s="538"/>
      <c r="O125" s="591"/>
    </row>
    <row r="126" spans="1:19" s="464" customFormat="1">
      <c r="A126" s="1072" t="s">
        <v>179</v>
      </c>
      <c r="B126" s="1072" t="s">
        <v>247</v>
      </c>
      <c r="C126" s="1072" t="s">
        <v>562</v>
      </c>
      <c r="D126" s="1072"/>
      <c r="E126" s="1072"/>
      <c r="F126" s="1072"/>
      <c r="G126" s="1072" t="s">
        <v>563</v>
      </c>
      <c r="H126" s="1072"/>
      <c r="I126" s="1072"/>
      <c r="J126" s="1072"/>
      <c r="K126" s="1072" t="s">
        <v>564</v>
      </c>
      <c r="L126" s="1072"/>
      <c r="M126" s="1072"/>
      <c r="N126" s="1072"/>
      <c r="O126" s="591"/>
    </row>
    <row r="127" spans="1:19" s="464" customFormat="1" ht="27" customHeight="1">
      <c r="A127" s="1072"/>
      <c r="B127" s="1072"/>
      <c r="C127" s="563" t="s">
        <v>326</v>
      </c>
      <c r="D127" s="1073" t="s">
        <v>327</v>
      </c>
      <c r="E127" s="1074"/>
      <c r="F127" s="563" t="s">
        <v>250</v>
      </c>
      <c r="G127" s="563" t="s">
        <v>326</v>
      </c>
      <c r="H127" s="1073" t="s">
        <v>327</v>
      </c>
      <c r="I127" s="1074"/>
      <c r="J127" s="563" t="s">
        <v>250</v>
      </c>
      <c r="K127" s="563" t="s">
        <v>326</v>
      </c>
      <c r="L127" s="1073" t="s">
        <v>327</v>
      </c>
      <c r="M127" s="1074"/>
      <c r="N127" s="563" t="s">
        <v>250</v>
      </c>
      <c r="O127" s="591"/>
    </row>
    <row r="128" spans="1:19" s="464" customFormat="1">
      <c r="A128" s="563">
        <v>1</v>
      </c>
      <c r="B128" s="564" t="s">
        <v>328</v>
      </c>
      <c r="C128" s="580">
        <v>3892</v>
      </c>
      <c r="D128" s="1081">
        <v>22.67</v>
      </c>
      <c r="E128" s="1082"/>
      <c r="F128" s="88">
        <f>88205.16-15000</f>
        <v>73205.16</v>
      </c>
      <c r="G128" s="88">
        <v>3892</v>
      </c>
      <c r="H128" s="1081">
        <v>22.67</v>
      </c>
      <c r="I128" s="1082"/>
      <c r="J128" s="88">
        <v>88205.16</v>
      </c>
      <c r="K128" s="88">
        <v>3892</v>
      </c>
      <c r="L128" s="1081">
        <v>22.67</v>
      </c>
      <c r="M128" s="1082"/>
      <c r="N128" s="88">
        <v>88205.16</v>
      </c>
      <c r="O128" s="591"/>
    </row>
    <row r="129" spans="1:17" s="464" customFormat="1">
      <c r="A129" s="563">
        <v>2</v>
      </c>
      <c r="B129" s="564" t="s">
        <v>329</v>
      </c>
      <c r="C129" s="88">
        <v>209</v>
      </c>
      <c r="D129" s="1081">
        <v>651.5</v>
      </c>
      <c r="E129" s="1082"/>
      <c r="F129" s="88">
        <f>136164.6-42734.29</f>
        <v>93430.31</v>
      </c>
      <c r="G129" s="88">
        <v>209</v>
      </c>
      <c r="H129" s="1081">
        <v>651.5</v>
      </c>
      <c r="I129" s="1082"/>
      <c r="J129" s="88">
        <v>136164.6</v>
      </c>
      <c r="K129" s="88">
        <v>209</v>
      </c>
      <c r="L129" s="1081">
        <v>651.5</v>
      </c>
      <c r="M129" s="1082"/>
      <c r="N129" s="88">
        <v>136164.6</v>
      </c>
      <c r="O129" s="591"/>
    </row>
    <row r="130" spans="1:17" s="464" customFormat="1">
      <c r="A130" s="595"/>
      <c r="B130" s="596" t="s">
        <v>257</v>
      </c>
      <c r="C130" s="597" t="s">
        <v>26</v>
      </c>
      <c r="D130" s="1081" t="s">
        <v>26</v>
      </c>
      <c r="E130" s="1082"/>
      <c r="F130" s="88">
        <f>SUM(F128:F129)</f>
        <v>166635.47</v>
      </c>
      <c r="G130" s="597" t="s">
        <v>26</v>
      </c>
      <c r="H130" s="1081" t="s">
        <v>26</v>
      </c>
      <c r="I130" s="1082"/>
      <c r="J130" s="88">
        <f>SUM(J128:J129)</f>
        <v>224369.76</v>
      </c>
      <c r="K130" s="597" t="s">
        <v>26</v>
      </c>
      <c r="L130" s="1081" t="s">
        <v>26</v>
      </c>
      <c r="M130" s="1082"/>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330</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497</v>
      </c>
    </row>
    <row r="134" spans="1:17" s="463" customFormat="1">
      <c r="A134" s="539" t="s">
        <v>238</v>
      </c>
      <c r="B134" s="540"/>
      <c r="C134" s="540"/>
      <c r="D134" s="540"/>
      <c r="E134" s="540"/>
      <c r="F134" s="540"/>
      <c r="G134" s="540"/>
      <c r="H134" s="540"/>
      <c r="I134" s="540"/>
      <c r="J134" s="540"/>
      <c r="K134" s="540"/>
      <c r="L134" s="540"/>
      <c r="M134" s="540"/>
      <c r="N134" s="540"/>
      <c r="O134" s="591"/>
    </row>
    <row r="135" spans="1:17" s="464" customFormat="1">
      <c r="A135" s="374" t="s">
        <v>239</v>
      </c>
      <c r="B135" s="538"/>
      <c r="C135" s="538"/>
      <c r="D135" s="538"/>
      <c r="E135" s="538"/>
      <c r="F135" s="538"/>
      <c r="G135" s="538"/>
      <c r="H135" s="538"/>
      <c r="I135" s="538"/>
      <c r="J135" s="538"/>
      <c r="K135" s="538"/>
      <c r="L135" s="538"/>
      <c r="M135" s="538"/>
      <c r="N135" s="538"/>
      <c r="O135" s="591"/>
    </row>
    <row r="136" spans="1:17" s="464" customFormat="1">
      <c r="A136" s="374" t="s">
        <v>240</v>
      </c>
      <c r="B136" s="538"/>
      <c r="C136" s="538"/>
      <c r="D136" s="538"/>
      <c r="E136" s="538"/>
      <c r="F136" s="538"/>
      <c r="G136" s="538"/>
      <c r="H136" s="538"/>
      <c r="I136" s="538"/>
      <c r="J136" s="538"/>
      <c r="K136" s="538"/>
      <c r="L136" s="538"/>
      <c r="M136" s="538"/>
      <c r="N136" s="538"/>
      <c r="O136" s="591"/>
    </row>
    <row r="137" spans="1:17" s="464" customFormat="1">
      <c r="A137" s="374" t="s">
        <v>583</v>
      </c>
      <c r="B137" s="538"/>
      <c r="C137" s="538"/>
      <c r="D137" s="538"/>
      <c r="E137" s="538"/>
      <c r="F137" s="538"/>
      <c r="G137" s="538"/>
      <c r="H137" s="538"/>
      <c r="I137" s="538"/>
      <c r="J137" s="538"/>
      <c r="K137" s="538"/>
      <c r="L137" s="538"/>
      <c r="M137" s="538"/>
      <c r="N137" s="538"/>
      <c r="O137" s="591"/>
    </row>
    <row r="138" spans="1:17" s="464" customFormat="1">
      <c r="A138" s="1072" t="s">
        <v>179</v>
      </c>
      <c r="B138" s="1072" t="s">
        <v>9</v>
      </c>
      <c r="C138" s="1072" t="s">
        <v>216</v>
      </c>
      <c r="D138" s="1072"/>
      <c r="E138" s="1072"/>
      <c r="F138" s="1072"/>
      <c r="G138" s="1072" t="s">
        <v>217</v>
      </c>
      <c r="H138" s="1072"/>
      <c r="I138" s="1072"/>
      <c r="J138" s="1072"/>
      <c r="K138" s="1072" t="s">
        <v>218</v>
      </c>
      <c r="L138" s="1072"/>
      <c r="M138" s="1072"/>
      <c r="N138" s="1072"/>
      <c r="O138" s="591"/>
    </row>
    <row r="139" spans="1:17" s="464" customFormat="1" ht="23.25" customHeight="1">
      <c r="A139" s="1072"/>
      <c r="B139" s="1072"/>
      <c r="C139" s="1072" t="s">
        <v>331</v>
      </c>
      <c r="D139" s="1073" t="s">
        <v>332</v>
      </c>
      <c r="E139" s="1074"/>
      <c r="F139" s="1072" t="s">
        <v>250</v>
      </c>
      <c r="G139" s="1072" t="s">
        <v>331</v>
      </c>
      <c r="H139" s="1073" t="s">
        <v>332</v>
      </c>
      <c r="I139" s="1074"/>
      <c r="J139" s="1072" t="s">
        <v>250</v>
      </c>
      <c r="K139" s="1072" t="s">
        <v>331</v>
      </c>
      <c r="L139" s="1073" t="s">
        <v>332</v>
      </c>
      <c r="M139" s="1074"/>
      <c r="N139" s="1072" t="s">
        <v>250</v>
      </c>
      <c r="O139" s="591"/>
    </row>
    <row r="140" spans="1:17" s="464" customFormat="1" ht="27" customHeight="1">
      <c r="A140" s="1072"/>
      <c r="B140" s="1072"/>
      <c r="C140" s="1072"/>
      <c r="D140" s="563" t="s">
        <v>333</v>
      </c>
      <c r="E140" s="563" t="s">
        <v>334</v>
      </c>
      <c r="F140" s="1072"/>
      <c r="G140" s="1072"/>
      <c r="H140" s="563" t="s">
        <v>334</v>
      </c>
      <c r="I140" s="563" t="s">
        <v>335</v>
      </c>
      <c r="J140" s="1072"/>
      <c r="K140" s="1072"/>
      <c r="L140" s="1073" t="s">
        <v>336</v>
      </c>
      <c r="M140" s="1074"/>
      <c r="N140" s="1072"/>
      <c r="O140" s="591"/>
    </row>
    <row r="141" spans="1:17" s="464" customFormat="1" ht="15" customHeight="1">
      <c r="A141" s="563">
        <v>1</v>
      </c>
      <c r="B141" s="563" t="s">
        <v>337</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73">
        <v>1867.21</v>
      </c>
      <c r="M141" s="1074"/>
      <c r="N141" s="88"/>
      <c r="O141" s="591"/>
    </row>
    <row r="142" spans="1:17" s="464" customFormat="1" ht="15" customHeight="1">
      <c r="A142" s="563">
        <v>2</v>
      </c>
      <c r="B142" s="563" t="s">
        <v>338</v>
      </c>
      <c r="C142" s="531">
        <f t="shared" si="7"/>
        <v>0</v>
      </c>
      <c r="D142" s="563">
        <v>6.29</v>
      </c>
      <c r="E142" s="563">
        <v>6.29</v>
      </c>
      <c r="F142" s="88"/>
      <c r="G142" s="531">
        <f t="shared" si="8"/>
        <v>0</v>
      </c>
      <c r="H142" s="563">
        <v>6.29</v>
      </c>
      <c r="I142" s="563">
        <v>6.29</v>
      </c>
      <c r="J142" s="88"/>
      <c r="K142" s="531">
        <f t="shared" si="9"/>
        <v>0</v>
      </c>
      <c r="L142" s="1073">
        <v>6.29</v>
      </c>
      <c r="M142" s="1074"/>
      <c r="N142" s="88"/>
      <c r="O142" s="591"/>
    </row>
    <row r="143" spans="1:17" s="464" customFormat="1" ht="25.5">
      <c r="A143" s="563">
        <v>3</v>
      </c>
      <c r="B143" s="563" t="s">
        <v>339</v>
      </c>
      <c r="C143" s="531">
        <f t="shared" si="7"/>
        <v>0</v>
      </c>
      <c r="D143" s="599">
        <v>1802.36</v>
      </c>
      <c r="E143" s="599">
        <v>1802.36</v>
      </c>
      <c r="F143" s="88"/>
      <c r="G143" s="531">
        <f t="shared" si="8"/>
        <v>0</v>
      </c>
      <c r="H143" s="563">
        <v>1802.36</v>
      </c>
      <c r="I143" s="563">
        <v>1867.21</v>
      </c>
      <c r="J143" s="88"/>
      <c r="K143" s="531">
        <f t="shared" si="9"/>
        <v>0</v>
      </c>
      <c r="L143" s="1073">
        <v>1867.21</v>
      </c>
      <c r="M143" s="1074"/>
      <c r="N143" s="88"/>
      <c r="O143" s="591"/>
    </row>
    <row r="144" spans="1:17" s="464" customFormat="1">
      <c r="A144" s="595"/>
      <c r="B144" s="596" t="s">
        <v>257</v>
      </c>
      <c r="C144" s="597" t="s">
        <v>26</v>
      </c>
      <c r="D144" s="597" t="s">
        <v>26</v>
      </c>
      <c r="E144" s="597" t="s">
        <v>26</v>
      </c>
      <c r="F144" s="88">
        <f>SUM(F141:F143)</f>
        <v>0</v>
      </c>
      <c r="G144" s="597" t="s">
        <v>26</v>
      </c>
      <c r="H144" s="597" t="s">
        <v>26</v>
      </c>
      <c r="I144" s="597" t="s">
        <v>26</v>
      </c>
      <c r="J144" s="88">
        <f>SUM(J141:J143)</f>
        <v>0</v>
      </c>
      <c r="K144" s="597" t="s">
        <v>26</v>
      </c>
      <c r="L144" s="597" t="s">
        <v>26</v>
      </c>
      <c r="M144" s="597" t="s">
        <v>26</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238</v>
      </c>
      <c r="B146" s="540"/>
      <c r="C146" s="540"/>
      <c r="D146" s="540"/>
      <c r="E146" s="540"/>
      <c r="F146" s="602"/>
      <c r="G146" s="540"/>
      <c r="H146" s="540"/>
      <c r="I146" s="540"/>
      <c r="J146" s="602"/>
      <c r="K146" s="540"/>
      <c r="L146" s="540"/>
      <c r="M146" s="540"/>
      <c r="N146" s="602"/>
      <c r="O146" s="591"/>
    </row>
    <row r="147" spans="1:19" s="464" customFormat="1">
      <c r="A147" s="374" t="s">
        <v>239</v>
      </c>
      <c r="B147" s="538"/>
      <c r="C147" s="538"/>
      <c r="D147" s="538"/>
      <c r="E147" s="538"/>
      <c r="F147" s="603"/>
      <c r="G147" s="538"/>
      <c r="H147" s="538"/>
      <c r="I147" s="538"/>
      <c r="J147" s="603"/>
      <c r="K147" s="538"/>
      <c r="L147" s="538"/>
      <c r="M147" s="538"/>
      <c r="N147" s="603"/>
      <c r="O147" s="591"/>
    </row>
    <row r="148" spans="1:19" s="464" customFormat="1">
      <c r="A148" s="374" t="s">
        <v>240</v>
      </c>
      <c r="B148" s="538"/>
      <c r="C148" s="538"/>
      <c r="D148" s="538"/>
      <c r="E148" s="538"/>
      <c r="F148" s="603"/>
      <c r="G148" s="538"/>
      <c r="H148" s="538"/>
      <c r="I148" s="538"/>
      <c r="J148" s="603"/>
      <c r="K148" s="538"/>
      <c r="L148" s="538"/>
      <c r="M148" s="538"/>
      <c r="N148" s="603"/>
      <c r="O148" s="591"/>
    </row>
    <row r="149" spans="1:19" s="464" customFormat="1">
      <c r="A149" s="448" t="s">
        <v>340</v>
      </c>
      <c r="B149" s="604"/>
      <c r="C149" s="604"/>
      <c r="D149" s="604"/>
      <c r="E149" s="604"/>
      <c r="F149" s="605"/>
      <c r="G149" s="604"/>
      <c r="H149" s="604"/>
      <c r="I149" s="604"/>
      <c r="J149" s="605"/>
      <c r="K149" s="604"/>
      <c r="L149" s="604"/>
      <c r="M149" s="604"/>
      <c r="N149" s="605"/>
      <c r="O149" s="591"/>
    </row>
    <row r="150" spans="1:19" s="464" customFormat="1">
      <c r="A150" s="1085" t="s">
        <v>179</v>
      </c>
      <c r="B150" s="1085" t="s">
        <v>9</v>
      </c>
      <c r="C150" s="1073" t="s">
        <v>562</v>
      </c>
      <c r="D150" s="1086"/>
      <c r="E150" s="1086"/>
      <c r="F150" s="1074"/>
      <c r="G150" s="1073" t="s">
        <v>563</v>
      </c>
      <c r="H150" s="1086"/>
      <c r="I150" s="1086"/>
      <c r="J150" s="1074"/>
      <c r="K150" s="1073" t="s">
        <v>564</v>
      </c>
      <c r="L150" s="1086"/>
      <c r="M150" s="1086"/>
      <c r="N150" s="1074"/>
      <c r="O150" s="606"/>
    </row>
    <row r="151" spans="1:19" s="464" customFormat="1" ht="21" customHeight="1">
      <c r="A151" s="1072"/>
      <c r="B151" s="1072"/>
      <c r="C151" s="1085" t="s">
        <v>331</v>
      </c>
      <c r="D151" s="1073" t="s">
        <v>332</v>
      </c>
      <c r="E151" s="1074"/>
      <c r="F151" s="1085" t="s">
        <v>250</v>
      </c>
      <c r="G151" s="1085" t="s">
        <v>331</v>
      </c>
      <c r="H151" s="1073" t="s">
        <v>332</v>
      </c>
      <c r="I151" s="1074"/>
      <c r="J151" s="1085" t="s">
        <v>250</v>
      </c>
      <c r="K151" s="1085" t="s">
        <v>331</v>
      </c>
      <c r="L151" s="1073" t="s">
        <v>332</v>
      </c>
      <c r="M151" s="1074"/>
      <c r="N151" s="1085" t="s">
        <v>250</v>
      </c>
      <c r="O151" s="606"/>
    </row>
    <row r="152" spans="1:19" s="464" customFormat="1" ht="25.5">
      <c r="A152" s="1072"/>
      <c r="B152" s="1072"/>
      <c r="C152" s="1072"/>
      <c r="D152" s="563" t="s">
        <v>577</v>
      </c>
      <c r="E152" s="563" t="s">
        <v>578</v>
      </c>
      <c r="F152" s="1072"/>
      <c r="G152" s="1072"/>
      <c r="H152" s="563" t="s">
        <v>579</v>
      </c>
      <c r="I152" s="563" t="s">
        <v>580</v>
      </c>
      <c r="J152" s="1072"/>
      <c r="K152" s="1072"/>
      <c r="L152" s="563" t="s">
        <v>581</v>
      </c>
      <c r="M152" s="563" t="s">
        <v>582</v>
      </c>
      <c r="N152" s="1072"/>
      <c r="O152" s="606"/>
      <c r="Q152" s="478">
        <f>F160</f>
        <v>801570</v>
      </c>
      <c r="R152" s="478">
        <f>J160</f>
        <v>810098.39</v>
      </c>
      <c r="S152" s="478">
        <f>N160</f>
        <v>820430.14</v>
      </c>
    </row>
    <row r="153" spans="1:19" s="464" customFormat="1" ht="15" customHeight="1">
      <c r="A153" s="563">
        <v>1</v>
      </c>
      <c r="B153" s="607" t="s">
        <v>337</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338</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339</v>
      </c>
      <c r="C155" s="531"/>
      <c r="D155" s="599"/>
      <c r="E155" s="599"/>
      <c r="F155" s="88"/>
      <c r="G155" s="531"/>
      <c r="H155" s="563"/>
      <c r="I155" s="563"/>
      <c r="J155" s="88"/>
      <c r="K155" s="531"/>
      <c r="L155" s="563"/>
      <c r="M155" s="563"/>
      <c r="N155" s="88"/>
      <c r="O155" s="591"/>
      <c r="Q155" s="479"/>
    </row>
    <row r="156" spans="1:19" s="464" customFormat="1">
      <c r="A156" s="563">
        <v>3</v>
      </c>
      <c r="B156" s="607" t="s">
        <v>341</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342</v>
      </c>
      <c r="C157" s="531"/>
      <c r="D157" s="599"/>
      <c r="E157" s="599"/>
      <c r="F157" s="88"/>
      <c r="G157" s="531"/>
      <c r="H157" s="599"/>
      <c r="I157" s="599"/>
      <c r="J157" s="88"/>
      <c r="K157" s="531"/>
      <c r="L157" s="599"/>
      <c r="M157" s="599"/>
      <c r="N157" s="88"/>
      <c r="O157" s="606"/>
      <c r="Q157" s="479"/>
    </row>
    <row r="158" spans="1:19" s="464" customFormat="1">
      <c r="A158" s="563">
        <v>4</v>
      </c>
      <c r="B158" s="607" t="s">
        <v>343</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344</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257</v>
      </c>
      <c r="C160" s="597" t="s">
        <v>26</v>
      </c>
      <c r="D160" s="597" t="s">
        <v>26</v>
      </c>
      <c r="E160" s="598" t="s">
        <v>26</v>
      </c>
      <c r="F160" s="284">
        <f>SUM(F153:F159)</f>
        <v>801570</v>
      </c>
      <c r="G160" s="598" t="s">
        <v>26</v>
      </c>
      <c r="H160" s="598" t="s">
        <v>26</v>
      </c>
      <c r="I160" s="597" t="s">
        <v>26</v>
      </c>
      <c r="J160" s="88">
        <f>SUM(J153:J159)</f>
        <v>810098.39</v>
      </c>
      <c r="K160" s="597" t="s">
        <v>26</v>
      </c>
      <c r="L160" s="598" t="s">
        <v>26</v>
      </c>
      <c r="M160" s="597" t="s">
        <v>26</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498</v>
      </c>
    </row>
    <row r="162" spans="1:19" s="463" customFormat="1">
      <c r="A162" s="543" t="s">
        <v>243</v>
      </c>
      <c r="B162" s="544"/>
      <c r="C162" s="544"/>
      <c r="D162" s="544"/>
      <c r="E162" s="544"/>
      <c r="F162" s="544"/>
      <c r="G162" s="544"/>
      <c r="H162" s="544"/>
      <c r="I162" s="544"/>
      <c r="J162" s="544"/>
      <c r="K162" s="544"/>
      <c r="L162" s="544"/>
      <c r="M162" s="544"/>
      <c r="N162" s="544"/>
      <c r="O162" s="591"/>
    </row>
    <row r="163" spans="1:19" s="464" customFormat="1">
      <c r="A163" s="374" t="s">
        <v>244</v>
      </c>
      <c r="B163" s="538"/>
      <c r="C163" s="538"/>
      <c r="D163" s="538"/>
      <c r="E163" s="538"/>
      <c r="F163" s="538"/>
      <c r="G163" s="538"/>
      <c r="H163" s="538"/>
      <c r="I163" s="538"/>
      <c r="J163" s="538"/>
      <c r="K163" s="538"/>
      <c r="L163" s="538"/>
      <c r="M163" s="538"/>
      <c r="N163" s="538"/>
      <c r="O163" s="591"/>
    </row>
    <row r="164" spans="1:19" s="464" customFormat="1">
      <c r="A164" s="374" t="s">
        <v>245</v>
      </c>
      <c r="B164" s="538"/>
      <c r="C164" s="538"/>
      <c r="D164" s="538"/>
      <c r="E164" s="538"/>
      <c r="F164" s="538"/>
      <c r="G164" s="538"/>
      <c r="H164" s="538"/>
      <c r="I164" s="538"/>
      <c r="J164" s="538"/>
      <c r="K164" s="538"/>
      <c r="L164" s="538"/>
      <c r="M164" s="538"/>
      <c r="N164" s="538"/>
      <c r="O164" s="591"/>
    </row>
    <row r="165" spans="1:19" s="464" customFormat="1">
      <c r="A165" s="374" t="s">
        <v>583</v>
      </c>
      <c r="B165" s="538"/>
      <c r="C165" s="538"/>
      <c r="D165" s="538"/>
      <c r="E165" s="538"/>
      <c r="F165" s="538"/>
      <c r="G165" s="538"/>
      <c r="H165" s="538"/>
      <c r="I165" s="538"/>
      <c r="J165" s="538"/>
      <c r="K165" s="538"/>
      <c r="L165" s="538"/>
      <c r="M165" s="538"/>
      <c r="N165" s="538"/>
      <c r="O165" s="591"/>
    </row>
    <row r="166" spans="1:19" s="464" customFormat="1">
      <c r="A166" s="1072" t="s">
        <v>179</v>
      </c>
      <c r="B166" s="1072" t="s">
        <v>9</v>
      </c>
      <c r="C166" s="1072" t="s">
        <v>216</v>
      </c>
      <c r="D166" s="1072"/>
      <c r="E166" s="1072"/>
      <c r="F166" s="1072"/>
      <c r="G166" s="1072" t="s">
        <v>217</v>
      </c>
      <c r="H166" s="1072"/>
      <c r="I166" s="1072"/>
      <c r="J166" s="1072"/>
      <c r="K166" s="1072" t="s">
        <v>218</v>
      </c>
      <c r="L166" s="1072"/>
      <c r="M166" s="1072"/>
      <c r="N166" s="1072"/>
      <c r="O166" s="591"/>
    </row>
    <row r="167" spans="1:19" s="464" customFormat="1" ht="27" customHeight="1">
      <c r="A167" s="1072"/>
      <c r="B167" s="1072"/>
      <c r="C167" s="1072" t="s">
        <v>331</v>
      </c>
      <c r="D167" s="1073" t="s">
        <v>332</v>
      </c>
      <c r="E167" s="1074"/>
      <c r="F167" s="1072" t="s">
        <v>250</v>
      </c>
      <c r="G167" s="1072" t="s">
        <v>331</v>
      </c>
      <c r="H167" s="1073" t="s">
        <v>332</v>
      </c>
      <c r="I167" s="1074"/>
      <c r="J167" s="1072" t="s">
        <v>250</v>
      </c>
      <c r="K167" s="1072" t="s">
        <v>331</v>
      </c>
      <c r="L167" s="1073" t="s">
        <v>332</v>
      </c>
      <c r="M167" s="1074"/>
      <c r="N167" s="1072" t="s">
        <v>250</v>
      </c>
      <c r="O167" s="591"/>
    </row>
    <row r="168" spans="1:19" s="464" customFormat="1" ht="30.75" customHeight="1">
      <c r="A168" s="1072"/>
      <c r="B168" s="1072"/>
      <c r="C168" s="1072"/>
      <c r="D168" s="563" t="s">
        <v>345</v>
      </c>
      <c r="E168" s="563" t="s">
        <v>346</v>
      </c>
      <c r="F168" s="1072"/>
      <c r="G168" s="1072"/>
      <c r="H168" s="563" t="s">
        <v>346</v>
      </c>
      <c r="I168" s="563" t="s">
        <v>347</v>
      </c>
      <c r="J168" s="1072"/>
      <c r="K168" s="1072"/>
      <c r="L168" s="1073" t="s">
        <v>336</v>
      </c>
      <c r="M168" s="1074"/>
      <c r="N168" s="1072"/>
      <c r="O168" s="591"/>
    </row>
    <row r="169" spans="1:19" s="464" customFormat="1" ht="15.75" customHeight="1">
      <c r="A169" s="563">
        <v>1</v>
      </c>
      <c r="B169" s="563" t="s">
        <v>337</v>
      </c>
      <c r="C169" s="531">
        <f t="shared" si="7"/>
        <v>0</v>
      </c>
      <c r="D169" s="563">
        <v>1802.36</v>
      </c>
      <c r="E169" s="563">
        <v>1802.36</v>
      </c>
      <c r="F169" s="88"/>
      <c r="G169" s="531">
        <f t="shared" si="8"/>
        <v>0</v>
      </c>
      <c r="H169" s="563">
        <v>1802.36</v>
      </c>
      <c r="I169" s="563">
        <v>1867.21</v>
      </c>
      <c r="J169" s="88"/>
      <c r="K169" s="531">
        <f t="shared" si="9"/>
        <v>0</v>
      </c>
      <c r="L169" s="1073">
        <v>1867.21</v>
      </c>
      <c r="M169" s="1074"/>
      <c r="N169" s="88"/>
      <c r="O169" s="591"/>
      <c r="P169" s="479"/>
      <c r="Q169" s="479"/>
      <c r="R169" s="479"/>
      <c r="S169" s="479"/>
    </row>
    <row r="170" spans="1:19" s="464" customFormat="1" ht="15.75" customHeight="1">
      <c r="A170" s="563">
        <v>2</v>
      </c>
      <c r="B170" s="563" t="s">
        <v>338</v>
      </c>
      <c r="C170" s="531">
        <f t="shared" si="7"/>
        <v>0</v>
      </c>
      <c r="D170" s="563">
        <v>6.29</v>
      </c>
      <c r="E170" s="563">
        <v>6.29</v>
      </c>
      <c r="F170" s="88"/>
      <c r="G170" s="531">
        <f t="shared" si="8"/>
        <v>0</v>
      </c>
      <c r="H170" s="563">
        <v>6.29</v>
      </c>
      <c r="I170" s="563">
        <v>6.29</v>
      </c>
      <c r="J170" s="88"/>
      <c r="K170" s="531">
        <f t="shared" si="9"/>
        <v>0</v>
      </c>
      <c r="L170" s="1073">
        <v>6.29</v>
      </c>
      <c r="M170" s="1074"/>
      <c r="N170" s="88"/>
      <c r="O170" s="591"/>
    </row>
    <row r="171" spans="1:19" s="464" customFormat="1" ht="25.5">
      <c r="A171" s="563">
        <v>3</v>
      </c>
      <c r="B171" s="563" t="s">
        <v>339</v>
      </c>
      <c r="C171" s="531">
        <f t="shared" si="7"/>
        <v>0</v>
      </c>
      <c r="D171" s="599">
        <v>1802.36</v>
      </c>
      <c r="E171" s="599">
        <v>1802.36</v>
      </c>
      <c r="F171" s="88"/>
      <c r="G171" s="531">
        <f t="shared" si="8"/>
        <v>0</v>
      </c>
      <c r="H171" s="563">
        <v>1802.36</v>
      </c>
      <c r="I171" s="563">
        <v>1867.21</v>
      </c>
      <c r="J171" s="88"/>
      <c r="K171" s="531">
        <f t="shared" si="9"/>
        <v>0</v>
      </c>
      <c r="L171" s="1073">
        <v>1867.21</v>
      </c>
      <c r="M171" s="1074"/>
      <c r="N171" s="88"/>
      <c r="O171" s="591"/>
    </row>
    <row r="172" spans="1:19" s="464" customFormat="1">
      <c r="A172" s="595"/>
      <c r="B172" s="596" t="s">
        <v>257</v>
      </c>
      <c r="C172" s="597" t="s">
        <v>26</v>
      </c>
      <c r="D172" s="597" t="s">
        <v>26</v>
      </c>
      <c r="E172" s="597" t="s">
        <v>26</v>
      </c>
      <c r="F172" s="88">
        <f>ROUND(SUM(F169:F171),2)</f>
        <v>0</v>
      </c>
      <c r="G172" s="597" t="s">
        <v>26</v>
      </c>
      <c r="H172" s="597" t="s">
        <v>26</v>
      </c>
      <c r="I172" s="597" t="s">
        <v>26</v>
      </c>
      <c r="J172" s="88">
        <f>ROUND(SUM(J169:J171),2)</f>
        <v>0</v>
      </c>
      <c r="K172" s="597" t="s">
        <v>26</v>
      </c>
      <c r="L172" s="597" t="s">
        <v>26</v>
      </c>
      <c r="M172" s="597" t="s">
        <v>26</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243</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244</v>
      </c>
      <c r="B175" s="538"/>
      <c r="C175" s="538"/>
      <c r="D175" s="538"/>
      <c r="E175" s="538"/>
      <c r="F175" s="538"/>
      <c r="G175" s="538"/>
      <c r="H175" s="538"/>
      <c r="I175" s="538"/>
      <c r="J175" s="538"/>
      <c r="K175" s="538"/>
      <c r="L175" s="538"/>
      <c r="M175" s="538"/>
      <c r="N175" s="538"/>
      <c r="O175" s="591"/>
    </row>
    <row r="176" spans="1:19" s="464" customFormat="1">
      <c r="A176" s="374" t="s">
        <v>245</v>
      </c>
      <c r="B176" s="538"/>
      <c r="C176" s="538"/>
      <c r="D176" s="538"/>
      <c r="E176" s="538"/>
      <c r="F176" s="538"/>
      <c r="G176" s="538"/>
      <c r="H176" s="538"/>
      <c r="I176" s="538"/>
      <c r="J176" s="538"/>
      <c r="K176" s="538"/>
      <c r="L176" s="538"/>
      <c r="M176" s="538"/>
      <c r="N176" s="538"/>
      <c r="O176" s="591"/>
    </row>
    <row r="177" spans="1:19" s="464" customFormat="1">
      <c r="A177" s="448" t="s">
        <v>340</v>
      </c>
      <c r="B177" s="604"/>
      <c r="C177" s="604"/>
      <c r="D177" s="604"/>
      <c r="E177" s="604"/>
      <c r="F177" s="604"/>
      <c r="G177" s="604"/>
      <c r="H177" s="604"/>
      <c r="I177" s="604"/>
      <c r="J177" s="604"/>
      <c r="K177" s="604"/>
      <c r="L177" s="604"/>
      <c r="M177" s="604"/>
      <c r="N177" s="604"/>
      <c r="O177" s="591"/>
    </row>
    <row r="178" spans="1:19" s="464" customFormat="1" ht="15" customHeight="1">
      <c r="A178" s="1085" t="s">
        <v>179</v>
      </c>
      <c r="B178" s="1085" t="s">
        <v>9</v>
      </c>
      <c r="C178" s="1073" t="s">
        <v>562</v>
      </c>
      <c r="D178" s="1086"/>
      <c r="E178" s="1086"/>
      <c r="F178" s="1074"/>
      <c r="G178" s="1073" t="s">
        <v>563</v>
      </c>
      <c r="H178" s="1086"/>
      <c r="I178" s="1086"/>
      <c r="J178" s="1074"/>
      <c r="K178" s="1073" t="s">
        <v>564</v>
      </c>
      <c r="L178" s="1086"/>
      <c r="M178" s="1086"/>
      <c r="N178" s="1074"/>
      <c r="O178" s="606"/>
    </row>
    <row r="179" spans="1:19" s="464" customFormat="1" ht="23.25" customHeight="1">
      <c r="A179" s="1072"/>
      <c r="B179" s="1072"/>
      <c r="C179" s="1085" t="s">
        <v>331</v>
      </c>
      <c r="D179" s="1073" t="s">
        <v>332</v>
      </c>
      <c r="E179" s="1074"/>
      <c r="F179" s="1085" t="s">
        <v>250</v>
      </c>
      <c r="G179" s="1085" t="s">
        <v>331</v>
      </c>
      <c r="H179" s="1073" t="s">
        <v>332</v>
      </c>
      <c r="I179" s="1074"/>
      <c r="J179" s="1085" t="s">
        <v>250</v>
      </c>
      <c r="K179" s="1085" t="s">
        <v>331</v>
      </c>
      <c r="L179" s="1073" t="s">
        <v>332</v>
      </c>
      <c r="M179" s="1074"/>
      <c r="N179" s="1085" t="s">
        <v>250</v>
      </c>
      <c r="O179" s="606"/>
    </row>
    <row r="180" spans="1:19" s="464" customFormat="1" ht="25.5">
      <c r="A180" s="1072"/>
      <c r="B180" s="1072"/>
      <c r="C180" s="1072"/>
      <c r="D180" s="563" t="s">
        <v>577</v>
      </c>
      <c r="E180" s="563" t="s">
        <v>578</v>
      </c>
      <c r="F180" s="1072"/>
      <c r="G180" s="1072"/>
      <c r="H180" s="563" t="s">
        <v>579</v>
      </c>
      <c r="I180" s="563" t="s">
        <v>580</v>
      </c>
      <c r="J180" s="1072"/>
      <c r="K180" s="1072"/>
      <c r="L180" s="563" t="s">
        <v>581</v>
      </c>
      <c r="M180" s="563" t="s">
        <v>582</v>
      </c>
      <c r="N180" s="1072"/>
      <c r="O180" s="606"/>
    </row>
    <row r="181" spans="1:19" s="464" customFormat="1" ht="15.75" customHeight="1">
      <c r="A181" s="563">
        <v>1</v>
      </c>
      <c r="B181" s="607" t="s">
        <v>337</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338</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339</v>
      </c>
      <c r="C183" s="531"/>
      <c r="D183" s="599"/>
      <c r="E183" s="599"/>
      <c r="F183" s="88">
        <v>0</v>
      </c>
      <c r="G183" s="531"/>
      <c r="H183" s="563"/>
      <c r="I183" s="563"/>
      <c r="J183" s="88">
        <v>0</v>
      </c>
      <c r="K183" s="531"/>
      <c r="L183" s="563"/>
      <c r="M183" s="563"/>
      <c r="N183" s="88">
        <v>0</v>
      </c>
      <c r="O183" s="591"/>
    </row>
    <row r="184" spans="1:19" s="464" customFormat="1">
      <c r="A184" s="563">
        <v>3</v>
      </c>
      <c r="B184" s="607" t="s">
        <v>341</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342</v>
      </c>
      <c r="C185" s="531"/>
      <c r="D185" s="599"/>
      <c r="E185" s="599"/>
      <c r="F185" s="88"/>
      <c r="G185" s="531"/>
      <c r="H185" s="599"/>
      <c r="I185" s="599"/>
      <c r="J185" s="88"/>
      <c r="K185" s="531"/>
      <c r="L185" s="599"/>
      <c r="M185" s="599"/>
      <c r="N185" s="88"/>
      <c r="O185" s="606"/>
    </row>
    <row r="186" spans="1:19" s="464" customFormat="1">
      <c r="A186" s="563">
        <v>4</v>
      </c>
      <c r="B186" s="607" t="s">
        <v>343</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344</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257</v>
      </c>
      <c r="C188" s="597" t="s">
        <v>26</v>
      </c>
      <c r="D188" s="597" t="s">
        <v>26</v>
      </c>
      <c r="E188" s="597" t="s">
        <v>26</v>
      </c>
      <c r="F188" s="88">
        <f>ROUND(SUM(F181:F187),2)</f>
        <v>118694</v>
      </c>
      <c r="G188" s="597" t="s">
        <v>26</v>
      </c>
      <c r="H188" s="597" t="s">
        <v>26</v>
      </c>
      <c r="I188" s="597" t="s">
        <v>26</v>
      </c>
      <c r="J188" s="88">
        <f>ROUND(SUM(J181:J187),2)</f>
        <v>121307.54</v>
      </c>
      <c r="K188" s="597" t="s">
        <v>26</v>
      </c>
      <c r="L188" s="598" t="s">
        <v>26</v>
      </c>
      <c r="M188" s="597" t="s">
        <v>26</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243</v>
      </c>
      <c r="B191" s="611"/>
      <c r="C191" s="611"/>
      <c r="D191" s="611"/>
      <c r="E191" s="611"/>
      <c r="F191" s="611"/>
      <c r="G191" s="611"/>
      <c r="H191" s="611"/>
      <c r="I191" s="611"/>
      <c r="J191" s="611"/>
      <c r="K191" s="611"/>
      <c r="L191" s="611"/>
      <c r="M191" s="538"/>
      <c r="N191" s="538"/>
      <c r="O191" s="591"/>
    </row>
    <row r="192" spans="1:19">
      <c r="A192" s="374" t="s">
        <v>244</v>
      </c>
      <c r="B192" s="374"/>
      <c r="C192" s="374"/>
      <c r="D192" s="374"/>
      <c r="E192" s="374"/>
      <c r="F192" s="374"/>
      <c r="G192" s="374"/>
      <c r="H192" s="374"/>
      <c r="I192" s="374"/>
      <c r="J192" s="374"/>
      <c r="K192" s="374"/>
      <c r="L192" s="374"/>
      <c r="M192" s="538"/>
      <c r="N192" s="538"/>
      <c r="O192" s="538"/>
    </row>
    <row r="193" spans="1:15">
      <c r="A193" s="374" t="s">
        <v>245</v>
      </c>
      <c r="B193" s="374"/>
      <c r="C193" s="374"/>
      <c r="D193" s="374"/>
      <c r="E193" s="374"/>
      <c r="F193" s="374"/>
      <c r="G193" s="374"/>
      <c r="H193" s="374"/>
      <c r="I193" s="374"/>
      <c r="J193" s="374"/>
      <c r="K193" s="374"/>
      <c r="L193" s="374"/>
      <c r="M193" s="538"/>
      <c r="N193" s="538"/>
      <c r="O193" s="538"/>
    </row>
    <row r="194" spans="1:15">
      <c r="A194" s="583" t="s">
        <v>465</v>
      </c>
      <c r="B194" s="374"/>
      <c r="C194" s="374"/>
      <c r="D194" s="374"/>
      <c r="E194" s="374"/>
      <c r="F194" s="374"/>
      <c r="G194" s="374"/>
      <c r="H194" s="374"/>
      <c r="I194" s="374"/>
      <c r="J194" s="374"/>
      <c r="K194" s="374"/>
      <c r="L194" s="374"/>
      <c r="M194" s="538"/>
      <c r="N194" s="538"/>
      <c r="O194" s="538"/>
    </row>
    <row r="195" spans="1:15" ht="35.25" customHeight="1">
      <c r="A195" s="1072" t="s">
        <v>179</v>
      </c>
      <c r="B195" s="1072" t="s">
        <v>247</v>
      </c>
      <c r="C195" s="1072" t="s">
        <v>443</v>
      </c>
      <c r="D195" s="1072" t="s">
        <v>216</v>
      </c>
      <c r="E195" s="1072"/>
      <c r="F195" s="1072"/>
      <c r="G195" s="1072" t="s">
        <v>217</v>
      </c>
      <c r="H195" s="1072"/>
      <c r="I195" s="1072"/>
      <c r="J195" s="1072" t="s">
        <v>218</v>
      </c>
      <c r="K195" s="1072"/>
      <c r="L195" s="1072"/>
      <c r="M195" s="538"/>
      <c r="N195" s="538"/>
      <c r="O195" s="538"/>
    </row>
    <row r="196" spans="1:15">
      <c r="A196" s="1072"/>
      <c r="B196" s="1072"/>
      <c r="C196" s="1072"/>
      <c r="D196" s="1072" t="s">
        <v>422</v>
      </c>
      <c r="E196" s="1072" t="s">
        <v>310</v>
      </c>
      <c r="F196" s="1072" t="s">
        <v>250</v>
      </c>
      <c r="G196" s="1072" t="s">
        <v>422</v>
      </c>
      <c r="H196" s="563" t="s">
        <v>369</v>
      </c>
      <c r="I196" s="1072" t="s">
        <v>250</v>
      </c>
      <c r="J196" s="1072" t="s">
        <v>422</v>
      </c>
      <c r="K196" s="563" t="s">
        <v>369</v>
      </c>
      <c r="L196" s="1072" t="s">
        <v>250</v>
      </c>
      <c r="M196" s="538"/>
      <c r="N196" s="538"/>
      <c r="O196" s="538"/>
    </row>
    <row r="197" spans="1:15">
      <c r="A197" s="1072"/>
      <c r="B197" s="1072"/>
      <c r="C197" s="1072"/>
      <c r="D197" s="1072"/>
      <c r="E197" s="1072"/>
      <c r="F197" s="1072"/>
      <c r="G197" s="1072"/>
      <c r="H197" s="563" t="s">
        <v>437</v>
      </c>
      <c r="I197" s="1072"/>
      <c r="J197" s="1072"/>
      <c r="K197" s="563" t="s">
        <v>437</v>
      </c>
      <c r="L197" s="1072"/>
      <c r="M197" s="538"/>
      <c r="N197" s="538"/>
      <c r="O197" s="538"/>
    </row>
    <row r="198" spans="1:15" ht="25.5">
      <c r="A198" s="563">
        <v>1</v>
      </c>
      <c r="B198" s="607" t="s">
        <v>663</v>
      </c>
      <c r="C198" s="612" t="s">
        <v>468</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257</v>
      </c>
      <c r="C199" s="615"/>
      <c r="D199" s="617">
        <f>SUM(D197:D198)</f>
        <v>30</v>
      </c>
      <c r="E199" s="612" t="s">
        <v>26</v>
      </c>
      <c r="F199" s="613">
        <f>SUM(F196:F198)</f>
        <v>294000</v>
      </c>
      <c r="G199" s="612" t="s">
        <v>26</v>
      </c>
      <c r="H199" s="612" t="s">
        <v>26</v>
      </c>
      <c r="I199" s="612" t="s">
        <v>26</v>
      </c>
      <c r="J199" s="612" t="s">
        <v>26</v>
      </c>
      <c r="K199" s="612" t="s">
        <v>26</v>
      </c>
      <c r="L199" s="612" t="s">
        <v>26</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C179:C180"/>
    <mergeCell ref="D179:E179"/>
    <mergeCell ref="F179:F180"/>
    <mergeCell ref="G179:G180"/>
    <mergeCell ref="H179:I179"/>
    <mergeCell ref="J179:J180"/>
    <mergeCell ref="K179:K180"/>
    <mergeCell ref="L179:M179"/>
    <mergeCell ref="N179:N180"/>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B102:B103"/>
    <mergeCell ref="C102:C103"/>
    <mergeCell ref="A104:A105"/>
    <mergeCell ref="B104:B105"/>
    <mergeCell ref="C104:C105"/>
    <mergeCell ref="B106:B107"/>
    <mergeCell ref="A116:A117"/>
    <mergeCell ref="B116:B117"/>
    <mergeCell ref="C116:F116"/>
    <mergeCell ref="B83:B84"/>
    <mergeCell ref="C83:C84"/>
    <mergeCell ref="A85:A86"/>
    <mergeCell ref="B85:B86"/>
    <mergeCell ref="C85:C86"/>
    <mergeCell ref="B87:B88"/>
    <mergeCell ref="A95:A98"/>
    <mergeCell ref="B95:B98"/>
    <mergeCell ref="C95:C98"/>
    <mergeCell ref="D96:D98"/>
    <mergeCell ref="E96:E98"/>
    <mergeCell ref="F96:F98"/>
    <mergeCell ref="G96:G98"/>
    <mergeCell ref="H96:H98"/>
    <mergeCell ref="I96:I98"/>
    <mergeCell ref="J96:J98"/>
    <mergeCell ref="K96:K98"/>
    <mergeCell ref="L96:L98"/>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57:E57"/>
    <mergeCell ref="H57:I57"/>
    <mergeCell ref="L57:M57"/>
    <mergeCell ref="A62:A64"/>
    <mergeCell ref="B62:B64"/>
    <mergeCell ref="C62:D62"/>
    <mergeCell ref="F62:G62"/>
    <mergeCell ref="H62:J62"/>
    <mergeCell ref="C63:C64"/>
    <mergeCell ref="F63:F64"/>
    <mergeCell ref="H63:H64"/>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H10:I10"/>
    <mergeCell ref="L10:M10"/>
    <mergeCell ref="D11:E11"/>
    <mergeCell ref="H11:I11"/>
    <mergeCell ref="L11:M11"/>
    <mergeCell ref="D12:E12"/>
    <mergeCell ref="H12:I12"/>
    <mergeCell ref="L12:M12"/>
    <mergeCell ref="D13:E13"/>
    <mergeCell ref="H13:I13"/>
    <mergeCell ref="L13:M13"/>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348</v>
      </c>
    </row>
    <row r="2" spans="1:17" ht="25.5" hidden="1" customHeight="1">
      <c r="A2" s="1043" t="s">
        <v>179</v>
      </c>
      <c r="B2" s="1043" t="s">
        <v>9</v>
      </c>
      <c r="C2" s="1043" t="s">
        <v>277</v>
      </c>
      <c r="D2" s="1043"/>
      <c r="E2" s="1043"/>
      <c r="F2" s="1043"/>
      <c r="G2" s="1043" t="s">
        <v>278</v>
      </c>
      <c r="H2" s="1043"/>
      <c r="I2" s="1043"/>
      <c r="J2" s="1043"/>
      <c r="K2" s="1043" t="s">
        <v>279</v>
      </c>
      <c r="L2" s="1043"/>
      <c r="M2" s="1043"/>
      <c r="N2" s="1043"/>
    </row>
    <row r="3" spans="1:17" ht="38.25" hidden="1">
      <c r="A3" s="1043"/>
      <c r="B3" s="1043"/>
      <c r="C3" s="1043" t="s">
        <v>349</v>
      </c>
      <c r="D3" s="1043" t="s">
        <v>350</v>
      </c>
      <c r="E3" s="57" t="s">
        <v>351</v>
      </c>
      <c r="F3" s="1043" t="s">
        <v>352</v>
      </c>
      <c r="G3" s="1043" t="s">
        <v>349</v>
      </c>
      <c r="H3" s="1043" t="s">
        <v>350</v>
      </c>
      <c r="I3" s="57" t="s">
        <v>351</v>
      </c>
      <c r="J3" s="1043" t="s">
        <v>352</v>
      </c>
      <c r="K3" s="1043" t="s">
        <v>349</v>
      </c>
      <c r="L3" s="1043" t="s">
        <v>350</v>
      </c>
      <c r="M3" s="57" t="s">
        <v>353</v>
      </c>
      <c r="N3" s="1043" t="s">
        <v>352</v>
      </c>
    </row>
    <row r="4" spans="1:17" ht="25.5" hidden="1">
      <c r="A4" s="1043"/>
      <c r="B4" s="1043"/>
      <c r="C4" s="1043"/>
      <c r="D4" s="1043"/>
      <c r="E4" s="57" t="s">
        <v>354</v>
      </c>
      <c r="F4" s="1043"/>
      <c r="G4" s="1043"/>
      <c r="H4" s="1043"/>
      <c r="I4" s="57" t="s">
        <v>354</v>
      </c>
      <c r="J4" s="1043"/>
      <c r="K4" s="1043"/>
      <c r="L4" s="1043"/>
      <c r="M4" s="57" t="s">
        <v>354</v>
      </c>
      <c r="N4" s="1043"/>
    </row>
    <row r="5" spans="1:17" hidden="1">
      <c r="A5" s="81"/>
      <c r="B5" s="81"/>
      <c r="C5" s="90"/>
      <c r="D5" s="90"/>
      <c r="E5" s="90"/>
      <c r="F5" s="90"/>
      <c r="G5" s="90"/>
      <c r="H5" s="90"/>
      <c r="I5" s="90"/>
      <c r="J5" s="90"/>
      <c r="K5" s="90"/>
      <c r="L5" s="90"/>
      <c r="M5" s="90"/>
      <c r="N5" s="90"/>
    </row>
    <row r="6" spans="1:17">
      <c r="A6" s="75" t="s">
        <v>355</v>
      </c>
    </row>
    <row r="8" spans="1:17">
      <c r="A8" s="75" t="s">
        <v>356</v>
      </c>
    </row>
    <row r="9" spans="1:17">
      <c r="Q9" s="103" t="s">
        <v>357</v>
      </c>
    </row>
    <row r="10" spans="1:17" s="104" customFormat="1" ht="20.25" hidden="1" customHeight="1">
      <c r="A10" s="75" t="s">
        <v>238</v>
      </c>
    </row>
    <row r="11" spans="1:17" ht="20.25" hidden="1" customHeight="1">
      <c r="A11" s="75" t="s">
        <v>239</v>
      </c>
    </row>
    <row r="12" spans="1:17" hidden="1">
      <c r="A12" s="75" t="s">
        <v>240</v>
      </c>
    </row>
    <row r="13" spans="1:17" hidden="1">
      <c r="A13" s="76" t="s">
        <v>358</v>
      </c>
    </row>
    <row r="14" spans="1:17" ht="25.5" hidden="1" customHeight="1">
      <c r="A14" s="1043" t="s">
        <v>179</v>
      </c>
      <c r="B14" s="1043" t="s">
        <v>9</v>
      </c>
      <c r="C14" s="1043" t="s">
        <v>216</v>
      </c>
      <c r="D14" s="1043"/>
      <c r="E14" s="1043"/>
      <c r="F14" s="1043"/>
      <c r="G14" s="1043" t="s">
        <v>217</v>
      </c>
      <c r="H14" s="1043"/>
      <c r="I14" s="1043"/>
      <c r="J14" s="1043"/>
      <c r="K14" s="1043" t="s">
        <v>218</v>
      </c>
      <c r="L14" s="1043"/>
      <c r="M14" s="1043"/>
      <c r="N14" s="1043"/>
    </row>
    <row r="15" spans="1:17" ht="25.5" hidden="1">
      <c r="A15" s="1043"/>
      <c r="B15" s="1043"/>
      <c r="C15" s="1043" t="s">
        <v>359</v>
      </c>
      <c r="D15" s="1043" t="s">
        <v>360</v>
      </c>
      <c r="E15" s="1043" t="s">
        <v>361</v>
      </c>
      <c r="F15" s="1043" t="s">
        <v>250</v>
      </c>
      <c r="G15" s="1043" t="s">
        <v>359</v>
      </c>
      <c r="H15" s="57" t="s">
        <v>362</v>
      </c>
      <c r="I15" s="1043" t="s">
        <v>361</v>
      </c>
      <c r="J15" s="1043" t="s">
        <v>250</v>
      </c>
      <c r="K15" s="1043" t="s">
        <v>359</v>
      </c>
      <c r="L15" s="57" t="s">
        <v>362</v>
      </c>
      <c r="M15" s="1043" t="s">
        <v>361</v>
      </c>
      <c r="N15" s="1043" t="s">
        <v>250</v>
      </c>
    </row>
    <row r="16" spans="1:17" ht="25.5" hidden="1">
      <c r="A16" s="1043"/>
      <c r="B16" s="1043"/>
      <c r="C16" s="1043"/>
      <c r="D16" s="1043"/>
      <c r="E16" s="1043"/>
      <c r="F16" s="1043"/>
      <c r="G16" s="1043"/>
      <c r="H16" s="57" t="s">
        <v>363</v>
      </c>
      <c r="I16" s="1043"/>
      <c r="J16" s="1043"/>
      <c r="K16" s="1043"/>
      <c r="L16" s="57" t="s">
        <v>363</v>
      </c>
      <c r="M16" s="1043"/>
      <c r="N16" s="1043"/>
    </row>
    <row r="17" spans="1:17" ht="25.5" hidden="1">
      <c r="A17" s="57">
        <v>1</v>
      </c>
      <c r="B17" s="81" t="s">
        <v>364</v>
      </c>
      <c r="C17" s="122" t="s">
        <v>365</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366</v>
      </c>
      <c r="C18" s="122" t="s">
        <v>365</v>
      </c>
      <c r="D18" s="57">
        <v>0</v>
      </c>
      <c r="E18" s="57">
        <v>0</v>
      </c>
      <c r="F18" s="74">
        <v>0</v>
      </c>
      <c r="G18" s="57">
        <v>2512.1</v>
      </c>
      <c r="H18" s="57">
        <v>0.46</v>
      </c>
      <c r="I18" s="57">
        <v>0</v>
      </c>
      <c r="J18" s="74">
        <v>0</v>
      </c>
      <c r="K18" s="57">
        <v>2512.1</v>
      </c>
      <c r="L18" s="57">
        <v>0</v>
      </c>
      <c r="M18" s="57">
        <v>0</v>
      </c>
      <c r="N18" s="74">
        <f t="shared" si="0"/>
        <v>0</v>
      </c>
    </row>
    <row r="19" spans="1:17" hidden="1">
      <c r="A19" s="57"/>
      <c r="B19" s="108" t="s">
        <v>257</v>
      </c>
      <c r="C19" s="57" t="s">
        <v>26</v>
      </c>
      <c r="D19" s="57" t="s">
        <v>26</v>
      </c>
      <c r="E19" s="57" t="s">
        <v>26</v>
      </c>
      <c r="F19" s="123">
        <f>SUM(F17:F18)</f>
        <v>0</v>
      </c>
      <c r="G19" s="57" t="s">
        <v>26</v>
      </c>
      <c r="H19" s="57" t="s">
        <v>26</v>
      </c>
      <c r="I19" s="57" t="s">
        <v>26</v>
      </c>
      <c r="J19" s="74">
        <f>SUM(J17:J18)</f>
        <v>0</v>
      </c>
      <c r="K19" s="57" t="s">
        <v>26</v>
      </c>
      <c r="L19" s="57" t="s">
        <v>26</v>
      </c>
      <c r="M19" s="57" t="s">
        <v>26</v>
      </c>
      <c r="N19" s="74">
        <f>SUM(N17:N18)</f>
        <v>0</v>
      </c>
    </row>
    <row r="20" spans="1:17" hidden="1"/>
    <row r="21" spans="1:17">
      <c r="A21" s="75" t="s">
        <v>367</v>
      </c>
    </row>
    <row r="23" spans="1:17" s="104" customFormat="1">
      <c r="A23" s="77" t="s">
        <v>238</v>
      </c>
    </row>
    <row r="24" spans="1:17" ht="18.75" customHeight="1">
      <c r="A24" s="75" t="s">
        <v>239</v>
      </c>
    </row>
    <row r="25" spans="1:17" ht="13.5" customHeight="1">
      <c r="A25" s="75" t="s">
        <v>240</v>
      </c>
    </row>
    <row r="26" spans="1:17">
      <c r="A26" s="76" t="s">
        <v>358</v>
      </c>
    </row>
    <row r="27" spans="1:17" ht="25.5" customHeight="1">
      <c r="A27" s="1087" t="s">
        <v>179</v>
      </c>
      <c r="B27" s="1087" t="s">
        <v>9</v>
      </c>
      <c r="C27" s="1087" t="s">
        <v>368</v>
      </c>
      <c r="D27" s="1087" t="s">
        <v>562</v>
      </c>
      <c r="E27" s="1087"/>
      <c r="F27" s="1087"/>
      <c r="G27" s="1087"/>
      <c r="H27" s="1087" t="s">
        <v>563</v>
      </c>
      <c r="I27" s="1087"/>
      <c r="J27" s="1087"/>
      <c r="K27" s="1087"/>
      <c r="L27" s="1087" t="s">
        <v>564</v>
      </c>
      <c r="M27" s="1087"/>
      <c r="N27" s="1087"/>
      <c r="O27" s="1087"/>
    </row>
    <row r="28" spans="1:17" ht="25.5">
      <c r="A28" s="1087"/>
      <c r="B28" s="1087"/>
      <c r="C28" s="1087"/>
      <c r="D28" s="313" t="s">
        <v>369</v>
      </c>
      <c r="E28" s="313" t="s">
        <v>370</v>
      </c>
      <c r="F28" s="1087" t="s">
        <v>371</v>
      </c>
      <c r="G28" s="313" t="s">
        <v>303</v>
      </c>
      <c r="H28" s="1087" t="s">
        <v>372</v>
      </c>
      <c r="I28" s="313" t="s">
        <v>373</v>
      </c>
      <c r="J28" s="1087" t="s">
        <v>371</v>
      </c>
      <c r="K28" s="313" t="s">
        <v>303</v>
      </c>
      <c r="L28" s="1087" t="s">
        <v>372</v>
      </c>
      <c r="M28" s="313" t="s">
        <v>373</v>
      </c>
      <c r="N28" s="1087" t="s">
        <v>371</v>
      </c>
      <c r="O28" s="313" t="s">
        <v>303</v>
      </c>
    </row>
    <row r="29" spans="1:17">
      <c r="A29" s="1087"/>
      <c r="B29" s="1087"/>
      <c r="C29" s="1087"/>
      <c r="D29" s="313" t="s">
        <v>374</v>
      </c>
      <c r="E29" s="313" t="s">
        <v>375</v>
      </c>
      <c r="F29" s="1087"/>
      <c r="G29" s="313" t="s">
        <v>304</v>
      </c>
      <c r="H29" s="1087"/>
      <c r="I29" s="313" t="s">
        <v>376</v>
      </c>
      <c r="J29" s="1087"/>
      <c r="K29" s="313" t="s">
        <v>304</v>
      </c>
      <c r="L29" s="1087"/>
      <c r="M29" s="313" t="s">
        <v>376</v>
      </c>
      <c r="N29" s="1087"/>
      <c r="O29" s="313" t="s">
        <v>304</v>
      </c>
    </row>
    <row r="30" spans="1:17" ht="63.75">
      <c r="A30" s="313">
        <v>1</v>
      </c>
      <c r="B30" s="316" t="s">
        <v>377</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378</v>
      </c>
    </row>
    <row r="31" spans="1:17" ht="89.25" hidden="1">
      <c r="A31" s="313">
        <v>2</v>
      </c>
      <c r="B31" s="316" t="s">
        <v>379</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380</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381</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382</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257</v>
      </c>
      <c r="C35" s="313" t="s">
        <v>26</v>
      </c>
      <c r="D35" s="313" t="s">
        <v>26</v>
      </c>
      <c r="E35" s="313" t="s">
        <v>26</v>
      </c>
      <c r="F35" s="313" t="s">
        <v>26</v>
      </c>
      <c r="G35" s="334">
        <f>SUM(G30:G33)</f>
        <v>230140.41</v>
      </c>
      <c r="H35" s="313" t="s">
        <v>26</v>
      </c>
      <c r="I35" s="313" t="s">
        <v>26</v>
      </c>
      <c r="J35" s="313" t="s">
        <v>26</v>
      </c>
      <c r="K35" s="334">
        <f>SUM(K30:K34)</f>
        <v>230140.41</v>
      </c>
      <c r="L35" s="313" t="s">
        <v>26</v>
      </c>
      <c r="M35" s="313" t="s">
        <v>26</v>
      </c>
      <c r="N35" s="313" t="s">
        <v>26</v>
      </c>
      <c r="O35" s="334">
        <f>SUM(O30:O34)</f>
        <v>230140.41</v>
      </c>
    </row>
    <row r="36" spans="1:17">
      <c r="D36" s="263"/>
    </row>
    <row r="37" spans="1:17" s="106" customFormat="1">
      <c r="A37" s="84" t="s">
        <v>243</v>
      </c>
    </row>
    <row r="38" spans="1:17" ht="22.5" customHeight="1">
      <c r="A38" s="75" t="s">
        <v>244</v>
      </c>
      <c r="G38" s="124"/>
    </row>
    <row r="39" spans="1:17">
      <c r="A39" s="75" t="s">
        <v>245</v>
      </c>
      <c r="G39" s="125"/>
      <c r="H39" s="126"/>
    </row>
    <row r="40" spans="1:17">
      <c r="A40" s="76" t="s">
        <v>358</v>
      </c>
    </row>
    <row r="41" spans="1:17" ht="15" customHeight="1">
      <c r="A41" s="1087" t="s">
        <v>179</v>
      </c>
      <c r="B41" s="1087" t="s">
        <v>9</v>
      </c>
      <c r="C41" s="1087" t="s">
        <v>368</v>
      </c>
      <c r="D41" s="1087" t="s">
        <v>562</v>
      </c>
      <c r="E41" s="1087"/>
      <c r="F41" s="1087"/>
      <c r="G41" s="1087"/>
      <c r="H41" s="1087" t="s">
        <v>563</v>
      </c>
      <c r="I41" s="1087"/>
      <c r="J41" s="1087"/>
      <c r="K41" s="1087"/>
      <c r="L41" s="1087" t="s">
        <v>564</v>
      </c>
      <c r="M41" s="1087"/>
      <c r="N41" s="1087"/>
      <c r="O41" s="1087"/>
    </row>
    <row r="42" spans="1:17" ht="25.5">
      <c r="A42" s="1087"/>
      <c r="B42" s="1087"/>
      <c r="C42" s="1087"/>
      <c r="D42" s="313" t="s">
        <v>369</v>
      </c>
      <c r="E42" s="313" t="s">
        <v>370</v>
      </c>
      <c r="F42" s="1087" t="s">
        <v>371</v>
      </c>
      <c r="G42" s="313" t="s">
        <v>303</v>
      </c>
      <c r="H42" s="1087" t="s">
        <v>372</v>
      </c>
      <c r="I42" s="313" t="s">
        <v>373</v>
      </c>
      <c r="J42" s="1087" t="s">
        <v>371</v>
      </c>
      <c r="K42" s="313" t="s">
        <v>303</v>
      </c>
      <c r="L42" s="1087" t="s">
        <v>372</v>
      </c>
      <c r="M42" s="313" t="s">
        <v>373</v>
      </c>
      <c r="N42" s="1087" t="s">
        <v>371</v>
      </c>
      <c r="O42" s="313" t="s">
        <v>303</v>
      </c>
    </row>
    <row r="43" spans="1:17">
      <c r="A43" s="1087"/>
      <c r="B43" s="1087"/>
      <c r="C43" s="1087"/>
      <c r="D43" s="313" t="s">
        <v>374</v>
      </c>
      <c r="E43" s="313" t="s">
        <v>375</v>
      </c>
      <c r="F43" s="1087"/>
      <c r="G43" s="313" t="s">
        <v>304</v>
      </c>
      <c r="H43" s="1087"/>
      <c r="I43" s="313" t="s">
        <v>376</v>
      </c>
      <c r="J43" s="1087"/>
      <c r="K43" s="313" t="s">
        <v>304</v>
      </c>
      <c r="L43" s="1087"/>
      <c r="M43" s="313" t="s">
        <v>376</v>
      </c>
      <c r="N43" s="1087"/>
      <c r="O43" s="313" t="s">
        <v>304</v>
      </c>
    </row>
    <row r="44" spans="1:17" ht="63.75" customHeight="1">
      <c r="A44" s="313">
        <v>1</v>
      </c>
      <c r="B44" s="316" t="s">
        <v>377</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383</v>
      </c>
    </row>
    <row r="45" spans="1:17" ht="57" hidden="1" customHeight="1">
      <c r="A45" s="331">
        <v>2</v>
      </c>
      <c r="B45" s="316" t="s">
        <v>381</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382</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257</v>
      </c>
      <c r="C47" s="313" t="s">
        <v>26</v>
      </c>
      <c r="D47" s="313" t="s">
        <v>26</v>
      </c>
      <c r="E47" s="313" t="s">
        <v>26</v>
      </c>
      <c r="F47" s="313" t="s">
        <v>26</v>
      </c>
      <c r="G47" s="334">
        <f>SUM(G44:G46)</f>
        <v>281282.73</v>
      </c>
      <c r="H47" s="313" t="s">
        <v>26</v>
      </c>
      <c r="I47" s="313" t="s">
        <v>26</v>
      </c>
      <c r="J47" s="313" t="s">
        <v>26</v>
      </c>
      <c r="K47" s="334">
        <f>SUM(K44:K46)</f>
        <v>281282.73</v>
      </c>
      <c r="L47" s="313" t="s">
        <v>26</v>
      </c>
      <c r="M47" s="313" t="s">
        <v>26</v>
      </c>
      <c r="N47" s="313" t="s">
        <v>26</v>
      </c>
      <c r="O47" s="334">
        <f>SUM(O44:O46)</f>
        <v>281282.73</v>
      </c>
    </row>
    <row r="48" spans="1:17">
      <c r="A48" s="75" t="s">
        <v>384</v>
      </c>
    </row>
    <row r="50" spans="1:17" s="104" customFormat="1">
      <c r="A50" s="338" t="s">
        <v>238</v>
      </c>
      <c r="B50" s="339"/>
      <c r="C50" s="339"/>
      <c r="D50" s="339"/>
      <c r="E50" s="339"/>
      <c r="F50" s="339"/>
      <c r="G50" s="339"/>
      <c r="H50" s="339"/>
      <c r="I50" s="339"/>
      <c r="J50" s="339"/>
      <c r="K50" s="339"/>
      <c r="L50" s="339"/>
      <c r="M50" s="339"/>
      <c r="N50" s="339"/>
      <c r="O50" s="339"/>
    </row>
    <row r="51" spans="1:17" ht="17.25" customHeight="1">
      <c r="A51" s="340" t="s">
        <v>239</v>
      </c>
      <c r="B51" s="341"/>
      <c r="C51" s="341"/>
      <c r="D51" s="341"/>
      <c r="E51" s="341"/>
      <c r="F51" s="341"/>
      <c r="G51" s="341"/>
      <c r="H51" s="341"/>
      <c r="I51" s="341"/>
      <c r="J51" s="341"/>
      <c r="K51" s="341"/>
      <c r="L51" s="341"/>
      <c r="M51" s="341"/>
      <c r="N51" s="341"/>
      <c r="O51" s="341"/>
    </row>
    <row r="52" spans="1:17">
      <c r="A52" s="340" t="s">
        <v>240</v>
      </c>
      <c r="B52" s="341"/>
      <c r="C52" s="341"/>
      <c r="D52" s="341"/>
      <c r="E52" s="341"/>
      <c r="F52" s="341"/>
      <c r="G52" s="341"/>
      <c r="H52" s="341"/>
      <c r="I52" s="341"/>
      <c r="J52" s="341"/>
      <c r="K52" s="341"/>
      <c r="L52" s="341"/>
      <c r="M52" s="341"/>
      <c r="N52" s="341"/>
      <c r="O52" s="341"/>
    </row>
    <row r="53" spans="1:17">
      <c r="A53" s="342" t="s">
        <v>358</v>
      </c>
      <c r="B53" s="341"/>
      <c r="C53" s="341"/>
      <c r="D53" s="341"/>
      <c r="E53" s="341"/>
      <c r="F53" s="341"/>
      <c r="G53" s="341"/>
      <c r="H53" s="341"/>
      <c r="I53" s="341"/>
      <c r="J53" s="341"/>
      <c r="K53" s="341"/>
      <c r="L53" s="341"/>
      <c r="M53" s="341"/>
      <c r="N53" s="341"/>
      <c r="O53" s="341"/>
    </row>
    <row r="54" spans="1:17">
      <c r="A54" s="1088" t="s">
        <v>179</v>
      </c>
      <c r="B54" s="1088" t="s">
        <v>9</v>
      </c>
      <c r="C54" s="1088" t="s">
        <v>385</v>
      </c>
      <c r="D54" s="1091" t="s">
        <v>562</v>
      </c>
      <c r="E54" s="1092"/>
      <c r="F54" s="1092"/>
      <c r="G54" s="1093"/>
      <c r="H54" s="1091" t="s">
        <v>563</v>
      </c>
      <c r="I54" s="1092"/>
      <c r="J54" s="1092"/>
      <c r="K54" s="1093"/>
      <c r="L54" s="1091" t="s">
        <v>564</v>
      </c>
      <c r="M54" s="1092"/>
      <c r="N54" s="1092"/>
      <c r="O54" s="1093"/>
    </row>
    <row r="55" spans="1:17">
      <c r="A55" s="1089"/>
      <c r="B55" s="1089"/>
      <c r="C55" s="1089"/>
      <c r="D55" s="1088" t="s">
        <v>386</v>
      </c>
      <c r="E55" s="1088" t="s">
        <v>387</v>
      </c>
      <c r="F55" s="1088" t="s">
        <v>388</v>
      </c>
      <c r="G55" s="313" t="s">
        <v>303</v>
      </c>
      <c r="H55" s="1088" t="s">
        <v>386</v>
      </c>
      <c r="I55" s="1088" t="s">
        <v>387</v>
      </c>
      <c r="J55" s="1088" t="s">
        <v>388</v>
      </c>
      <c r="K55" s="313" t="s">
        <v>303</v>
      </c>
      <c r="L55" s="1088" t="s">
        <v>386</v>
      </c>
      <c r="M55" s="1088" t="s">
        <v>387</v>
      </c>
      <c r="N55" s="1088" t="s">
        <v>388</v>
      </c>
      <c r="O55" s="313" t="s">
        <v>303</v>
      </c>
    </row>
    <row r="56" spans="1:17" ht="42.75" customHeight="1">
      <c r="A56" s="1090"/>
      <c r="B56" s="1090"/>
      <c r="C56" s="1090"/>
      <c r="D56" s="1090"/>
      <c r="E56" s="1090"/>
      <c r="F56" s="1090"/>
      <c r="G56" s="313" t="s">
        <v>304</v>
      </c>
      <c r="H56" s="1090"/>
      <c r="I56" s="1090"/>
      <c r="J56" s="1090"/>
      <c r="K56" s="313" t="s">
        <v>304</v>
      </c>
      <c r="L56" s="1090"/>
      <c r="M56" s="1090"/>
      <c r="N56" s="1090"/>
      <c r="O56" s="313" t="s">
        <v>304</v>
      </c>
      <c r="Q56" s="103" t="s">
        <v>389</v>
      </c>
    </row>
    <row r="57" spans="1:17" ht="84" hidden="1" customHeight="1">
      <c r="A57" s="331">
        <v>1</v>
      </c>
      <c r="B57" s="316" t="s">
        <v>390</v>
      </c>
      <c r="C57" s="313" t="s">
        <v>391</v>
      </c>
      <c r="D57" s="333" t="s">
        <v>365</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392</v>
      </c>
      <c r="C58" s="316" t="s">
        <v>393</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394</v>
      </c>
      <c r="C59" s="315" t="s">
        <v>393</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395</v>
      </c>
      <c r="C60" s="315" t="s">
        <v>393</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396</v>
      </c>
      <c r="C61" s="315" t="s">
        <v>391</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589</v>
      </c>
      <c r="C62" s="315" t="s">
        <v>391</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397</v>
      </c>
      <c r="C63" s="315" t="s">
        <v>393</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257</v>
      </c>
      <c r="C64" s="315" t="s">
        <v>26</v>
      </c>
      <c r="D64" s="315">
        <v>0</v>
      </c>
      <c r="E64" s="315">
        <v>0</v>
      </c>
      <c r="F64" s="315">
        <v>0</v>
      </c>
      <c r="G64" s="517">
        <f>SUM(G57:G63)</f>
        <v>89170.32</v>
      </c>
      <c r="H64" s="315" t="s">
        <v>26</v>
      </c>
      <c r="I64" s="315" t="s">
        <v>26</v>
      </c>
      <c r="J64" s="315" t="s">
        <v>26</v>
      </c>
      <c r="K64" s="517">
        <f>SUM(K57:K63)</f>
        <v>101920.32000000001</v>
      </c>
      <c r="L64" s="315" t="s">
        <v>26</v>
      </c>
      <c r="M64" s="315" t="s">
        <v>26</v>
      </c>
      <c r="N64" s="315" t="s">
        <v>26</v>
      </c>
      <c r="O64" s="517">
        <f>SUM(O57:O63)</f>
        <v>104878.34</v>
      </c>
    </row>
    <row r="66" spans="1:15" hidden="1"/>
    <row r="67" spans="1:15" s="106" customFormat="1" hidden="1">
      <c r="A67" s="84" t="s">
        <v>243</v>
      </c>
    </row>
    <row r="68" spans="1:15" hidden="1">
      <c r="A68" s="75" t="s">
        <v>244</v>
      </c>
    </row>
    <row r="69" spans="1:15" hidden="1">
      <c r="A69" s="75" t="s">
        <v>245</v>
      </c>
    </row>
    <row r="70" spans="1:15" hidden="1">
      <c r="A70" s="76" t="s">
        <v>358</v>
      </c>
    </row>
    <row r="71" spans="1:15" hidden="1">
      <c r="A71" s="1043" t="s">
        <v>179</v>
      </c>
      <c r="B71" s="1043" t="s">
        <v>9</v>
      </c>
      <c r="C71" s="1043" t="s">
        <v>385</v>
      </c>
      <c r="D71" s="1043" t="s">
        <v>216</v>
      </c>
      <c r="E71" s="1043"/>
      <c r="F71" s="1043"/>
      <c r="G71" s="1043"/>
      <c r="H71" s="1043" t="s">
        <v>217</v>
      </c>
      <c r="I71" s="1043"/>
      <c r="J71" s="1043"/>
      <c r="K71" s="1043"/>
      <c r="L71" s="1043" t="s">
        <v>218</v>
      </c>
      <c r="M71" s="1043"/>
      <c r="N71" s="1043"/>
      <c r="O71" s="1043"/>
    </row>
    <row r="72" spans="1:15" hidden="1">
      <c r="A72" s="1043"/>
      <c r="B72" s="1043"/>
      <c r="C72" s="1043"/>
      <c r="D72" s="1043" t="s">
        <v>386</v>
      </c>
      <c r="E72" s="1043" t="s">
        <v>387</v>
      </c>
      <c r="F72" s="1043" t="s">
        <v>388</v>
      </c>
      <c r="G72" s="57" t="s">
        <v>303</v>
      </c>
      <c r="H72" s="1043" t="s">
        <v>386</v>
      </c>
      <c r="I72" s="1043" t="s">
        <v>387</v>
      </c>
      <c r="J72" s="1043" t="s">
        <v>388</v>
      </c>
      <c r="K72" s="57" t="s">
        <v>303</v>
      </c>
      <c r="L72" s="1043" t="s">
        <v>386</v>
      </c>
      <c r="M72" s="1043" t="s">
        <v>387</v>
      </c>
      <c r="N72" s="1043" t="s">
        <v>388</v>
      </c>
      <c r="O72" s="57" t="s">
        <v>303</v>
      </c>
    </row>
    <row r="73" spans="1:15" ht="36" hidden="1" customHeight="1">
      <c r="A73" s="1043"/>
      <c r="B73" s="1043"/>
      <c r="C73" s="1043"/>
      <c r="D73" s="1043"/>
      <c r="E73" s="1043"/>
      <c r="F73" s="1043"/>
      <c r="G73" s="57" t="s">
        <v>304</v>
      </c>
      <c r="H73" s="1043"/>
      <c r="I73" s="1043"/>
      <c r="J73" s="1043"/>
      <c r="K73" s="57" t="s">
        <v>304</v>
      </c>
      <c r="L73" s="1043"/>
      <c r="M73" s="1043"/>
      <c r="N73" s="1043"/>
      <c r="O73" s="57" t="s">
        <v>304</v>
      </c>
    </row>
    <row r="74" spans="1:15" ht="165.75" hidden="1">
      <c r="A74" s="57">
        <v>1</v>
      </c>
      <c r="B74" s="81" t="s">
        <v>398</v>
      </c>
      <c r="C74" s="81" t="s">
        <v>393</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399</v>
      </c>
      <c r="C75" s="81" t="s">
        <v>393</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396</v>
      </c>
      <c r="C76" s="81" t="s">
        <v>400</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490</v>
      </c>
      <c r="C77" s="183" t="s">
        <v>400</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491</v>
      </c>
      <c r="C78" s="183" t="s">
        <v>400</v>
      </c>
      <c r="D78" s="57">
        <v>2</v>
      </c>
      <c r="E78" s="57">
        <v>1</v>
      </c>
      <c r="F78" s="96">
        <f>G78/E78/D78</f>
        <v>0</v>
      </c>
      <c r="G78" s="96">
        <v>0</v>
      </c>
      <c r="H78" s="57">
        <v>0</v>
      </c>
      <c r="I78" s="57">
        <v>0</v>
      </c>
      <c r="J78" s="96">
        <v>0</v>
      </c>
      <c r="K78" s="96">
        <v>0</v>
      </c>
      <c r="L78" s="57">
        <v>0</v>
      </c>
      <c r="M78" s="57">
        <v>0</v>
      </c>
      <c r="N78" s="96">
        <v>0</v>
      </c>
      <c r="O78" s="96">
        <v>0</v>
      </c>
    </row>
    <row r="79" spans="1:15" hidden="1">
      <c r="A79" s="81"/>
      <c r="B79" s="108" t="s">
        <v>257</v>
      </c>
      <c r="C79" s="57" t="s">
        <v>26</v>
      </c>
      <c r="D79" s="57" t="s">
        <v>26</v>
      </c>
      <c r="E79" s="57" t="s">
        <v>26</v>
      </c>
      <c r="F79" s="57" t="s">
        <v>26</v>
      </c>
      <c r="G79" s="96">
        <f>SUM(G74:G78)</f>
        <v>0</v>
      </c>
      <c r="H79" s="57" t="s">
        <v>26</v>
      </c>
      <c r="I79" s="57" t="s">
        <v>26</v>
      </c>
      <c r="J79" s="57" t="s">
        <v>26</v>
      </c>
      <c r="K79" s="96">
        <f>K75</f>
        <v>0</v>
      </c>
      <c r="L79" s="57" t="s">
        <v>26</v>
      </c>
      <c r="M79" s="57" t="s">
        <v>26</v>
      </c>
      <c r="N79" s="57" t="s">
        <v>26</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L71:O71"/>
    <mergeCell ref="D72:D73"/>
    <mergeCell ref="E72:E73"/>
    <mergeCell ref="F72:F73"/>
    <mergeCell ref="H72:H73"/>
    <mergeCell ref="I72:I73"/>
    <mergeCell ref="J72:J73"/>
    <mergeCell ref="L72:L73"/>
    <mergeCell ref="M72:M73"/>
    <mergeCell ref="N72:N73"/>
    <mergeCell ref="A71:A73"/>
    <mergeCell ref="B71:B73"/>
    <mergeCell ref="C71:C73"/>
    <mergeCell ref="D71:G71"/>
    <mergeCell ref="H71:K71"/>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401</v>
      </c>
    </row>
    <row r="2" spans="2:17">
      <c r="Q2" s="29" t="s">
        <v>402</v>
      </c>
    </row>
    <row r="3" spans="2:17" s="114" customFormat="1">
      <c r="B3" s="114" t="s">
        <v>243</v>
      </c>
      <c r="M3" s="29"/>
      <c r="N3" s="29"/>
      <c r="O3" s="29"/>
    </row>
    <row r="4" spans="2:17">
      <c r="B4" s="29" t="s">
        <v>244</v>
      </c>
    </row>
    <row r="5" spans="2:17">
      <c r="B5" s="29" t="s">
        <v>245</v>
      </c>
    </row>
    <row r="6" spans="2:17">
      <c r="B6" s="116" t="s">
        <v>358</v>
      </c>
    </row>
    <row r="7" spans="2:17">
      <c r="B7" s="1043" t="s">
        <v>179</v>
      </c>
      <c r="C7" s="1043" t="s">
        <v>247</v>
      </c>
      <c r="D7" s="1043" t="s">
        <v>216</v>
      </c>
      <c r="E7" s="1043"/>
      <c r="F7" s="1043"/>
      <c r="G7" s="1043" t="s">
        <v>217</v>
      </c>
      <c r="H7" s="1043"/>
      <c r="I7" s="1043"/>
      <c r="J7" s="1043" t="s">
        <v>218</v>
      </c>
      <c r="K7" s="1043"/>
      <c r="L7" s="1043"/>
    </row>
    <row r="8" spans="2:17">
      <c r="B8" s="1043"/>
      <c r="C8" s="1043"/>
      <c r="D8" s="1043" t="s">
        <v>386</v>
      </c>
      <c r="E8" s="57" t="s">
        <v>369</v>
      </c>
      <c r="F8" s="1043" t="s">
        <v>250</v>
      </c>
      <c r="G8" s="1043" t="s">
        <v>386</v>
      </c>
      <c r="H8" s="57" t="s">
        <v>403</v>
      </c>
      <c r="I8" s="1043" t="s">
        <v>250</v>
      </c>
      <c r="J8" s="1043" t="s">
        <v>386</v>
      </c>
      <c r="K8" s="57" t="s">
        <v>369</v>
      </c>
      <c r="L8" s="1043" t="s">
        <v>250</v>
      </c>
    </row>
    <row r="9" spans="2:17">
      <c r="B9" s="1043"/>
      <c r="C9" s="1043"/>
      <c r="D9" s="1043"/>
      <c r="E9" s="57" t="s">
        <v>404</v>
      </c>
      <c r="F9" s="1043"/>
      <c r="G9" s="1043"/>
      <c r="H9" s="57" t="s">
        <v>404</v>
      </c>
      <c r="I9" s="1043"/>
      <c r="J9" s="1043"/>
      <c r="K9" s="57" t="s">
        <v>404</v>
      </c>
      <c r="L9" s="1043"/>
    </row>
    <row r="10" spans="2:17">
      <c r="B10" s="57">
        <v>1</v>
      </c>
      <c r="C10" s="81" t="s">
        <v>405</v>
      </c>
      <c r="D10" s="57" t="s">
        <v>26</v>
      </c>
      <c r="E10" s="57" t="s">
        <v>26</v>
      </c>
      <c r="F10" s="57" t="s">
        <v>26</v>
      </c>
      <c r="G10" s="57" t="s">
        <v>26</v>
      </c>
      <c r="H10" s="57" t="s">
        <v>26</v>
      </c>
      <c r="I10" s="57" t="s">
        <v>26</v>
      </c>
      <c r="J10" s="57" t="s">
        <v>26</v>
      </c>
      <c r="K10" s="57" t="s">
        <v>26</v>
      </c>
      <c r="L10" s="57" t="s">
        <v>26</v>
      </c>
    </row>
    <row r="11" spans="2:17">
      <c r="B11" s="57" t="s">
        <v>180</v>
      </c>
      <c r="C11" s="127" t="s">
        <v>406</v>
      </c>
      <c r="D11" s="57">
        <v>26</v>
      </c>
      <c r="E11" s="57">
        <v>317</v>
      </c>
      <c r="F11" s="74">
        <v>0</v>
      </c>
      <c r="G11" s="57">
        <v>26</v>
      </c>
      <c r="H11" s="57">
        <v>317</v>
      </c>
      <c r="I11" s="74">
        <v>0</v>
      </c>
      <c r="J11" s="57">
        <v>26</v>
      </c>
      <c r="K11" s="57">
        <v>317</v>
      </c>
      <c r="L11" s="74">
        <v>0</v>
      </c>
    </row>
    <row r="12" spans="2:17" ht="25.5">
      <c r="B12" s="57">
        <v>2</v>
      </c>
      <c r="C12" s="81" t="s">
        <v>407</v>
      </c>
      <c r="D12" s="57" t="s">
        <v>26</v>
      </c>
      <c r="E12" s="57" t="s">
        <v>26</v>
      </c>
      <c r="F12" s="57" t="s">
        <v>26</v>
      </c>
      <c r="G12" s="57" t="s">
        <v>26</v>
      </c>
      <c r="H12" s="57" t="s">
        <v>26</v>
      </c>
      <c r="I12" s="57" t="s">
        <v>26</v>
      </c>
      <c r="J12" s="57" t="s">
        <v>26</v>
      </c>
      <c r="K12" s="57" t="s">
        <v>26</v>
      </c>
      <c r="L12" s="57" t="s">
        <v>26</v>
      </c>
    </row>
    <row r="13" spans="2:17">
      <c r="B13" s="57" t="s">
        <v>408</v>
      </c>
      <c r="C13" s="127" t="s">
        <v>406</v>
      </c>
      <c r="D13" s="57">
        <v>42</v>
      </c>
      <c r="E13" s="57">
        <v>230</v>
      </c>
      <c r="F13" s="74">
        <v>0</v>
      </c>
      <c r="G13" s="57">
        <v>42</v>
      </c>
      <c r="H13" s="57">
        <v>230</v>
      </c>
      <c r="I13" s="74">
        <v>0</v>
      </c>
      <c r="J13" s="57">
        <v>42</v>
      </c>
      <c r="K13" s="57">
        <v>230</v>
      </c>
      <c r="L13" s="74">
        <v>0</v>
      </c>
    </row>
    <row r="14" spans="2:17">
      <c r="B14" s="57"/>
      <c r="C14" s="108" t="s">
        <v>257</v>
      </c>
      <c r="D14" s="80">
        <f>D11+D13</f>
        <v>68</v>
      </c>
      <c r="E14" s="57" t="s">
        <v>26</v>
      </c>
      <c r="F14" s="79">
        <f>F11+F13</f>
        <v>0</v>
      </c>
      <c r="G14" s="80">
        <f>G11+G13</f>
        <v>68</v>
      </c>
      <c r="H14" s="57" t="s">
        <v>26</v>
      </c>
      <c r="I14" s="79">
        <f>I11+I13</f>
        <v>0</v>
      </c>
      <c r="J14" s="80">
        <f>J11+J13</f>
        <v>68</v>
      </c>
      <c r="K14" s="57" t="s">
        <v>26</v>
      </c>
      <c r="L14" s="79">
        <f>L11+L13</f>
        <v>0</v>
      </c>
    </row>
    <row r="16" spans="2:17" ht="15.75">
      <c r="B16" s="1" t="s">
        <v>409</v>
      </c>
    </row>
    <row r="17" spans="2:15">
      <c r="B17" s="29" t="s">
        <v>265</v>
      </c>
    </row>
    <row r="18" spans="2:15">
      <c r="B18" s="116" t="s">
        <v>266</v>
      </c>
    </row>
    <row r="19" spans="2:15">
      <c r="B19" s="1043" t="s">
        <v>179</v>
      </c>
      <c r="C19" s="1043" t="s">
        <v>247</v>
      </c>
      <c r="D19" s="1043" t="s">
        <v>267</v>
      </c>
      <c r="E19" s="1043"/>
      <c r="F19" s="1043"/>
      <c r="G19" s="1043" t="s">
        <v>268</v>
      </c>
      <c r="H19" s="1043"/>
      <c r="I19" s="1043"/>
      <c r="J19" s="1043" t="s">
        <v>269</v>
      </c>
      <c r="K19" s="1043"/>
      <c r="L19" s="1043"/>
    </row>
    <row r="20" spans="2:15">
      <c r="B20" s="1043"/>
      <c r="C20" s="1043"/>
      <c r="D20" s="1112" t="s">
        <v>386</v>
      </c>
      <c r="E20" s="57" t="s">
        <v>403</v>
      </c>
      <c r="F20" s="1043" t="s">
        <v>250</v>
      </c>
      <c r="G20" s="1043" t="s">
        <v>386</v>
      </c>
      <c r="H20" s="57" t="s">
        <v>369</v>
      </c>
      <c r="I20" s="1043" t="s">
        <v>250</v>
      </c>
      <c r="J20" s="1043" t="s">
        <v>386</v>
      </c>
      <c r="K20" s="57" t="s">
        <v>369</v>
      </c>
      <c r="L20" s="1043" t="s">
        <v>250</v>
      </c>
    </row>
    <row r="21" spans="2:15">
      <c r="B21" s="1043"/>
      <c r="C21" s="1043"/>
      <c r="D21" s="1112"/>
      <c r="E21" s="57" t="s">
        <v>410</v>
      </c>
      <c r="F21" s="1043"/>
      <c r="G21" s="1043"/>
      <c r="H21" s="57" t="s">
        <v>404</v>
      </c>
      <c r="I21" s="1043"/>
      <c r="J21" s="1043"/>
      <c r="K21" s="57" t="s">
        <v>404</v>
      </c>
      <c r="L21" s="1043"/>
    </row>
    <row r="22" spans="2:15">
      <c r="B22" s="57"/>
      <c r="C22" s="57"/>
      <c r="D22" s="90"/>
      <c r="E22" s="90"/>
      <c r="F22" s="90"/>
      <c r="G22" s="90"/>
      <c r="H22" s="90"/>
      <c r="I22" s="90"/>
      <c r="J22" s="90"/>
      <c r="K22" s="90"/>
      <c r="L22" s="90"/>
    </row>
    <row r="24" spans="2:15" ht="15.75">
      <c r="B24" s="1" t="s">
        <v>411</v>
      </c>
    </row>
    <row r="26" spans="2:15" ht="15.75">
      <c r="B26" s="1" t="s">
        <v>412</v>
      </c>
    </row>
    <row r="28" spans="2:15" s="110" customFormat="1">
      <c r="B28" s="110" t="s">
        <v>238</v>
      </c>
      <c r="C28" s="110" t="s">
        <v>482</v>
      </c>
    </row>
    <row r="29" spans="2:15">
      <c r="B29" s="29" t="s">
        <v>239</v>
      </c>
    </row>
    <row r="30" spans="2:15">
      <c r="B30" s="29" t="s">
        <v>240</v>
      </c>
    </row>
    <row r="31" spans="2:15">
      <c r="B31" s="116" t="s">
        <v>413</v>
      </c>
    </row>
    <row r="32" spans="2:15">
      <c r="B32" s="1043" t="s">
        <v>179</v>
      </c>
      <c r="C32" s="1043" t="s">
        <v>247</v>
      </c>
      <c r="D32" s="1043" t="s">
        <v>216</v>
      </c>
      <c r="E32" s="1043"/>
      <c r="F32" s="1043"/>
      <c r="G32" s="1043"/>
      <c r="H32" s="1043" t="s">
        <v>217</v>
      </c>
      <c r="I32" s="1043"/>
      <c r="J32" s="1043"/>
      <c r="K32" s="1043"/>
      <c r="L32" s="1043" t="s">
        <v>218</v>
      </c>
      <c r="M32" s="1043"/>
      <c r="N32" s="1043"/>
      <c r="O32" s="1043"/>
    </row>
    <row r="33" spans="2:15" ht="25.5">
      <c r="B33" s="1043"/>
      <c r="C33" s="1043"/>
      <c r="D33" s="1043" t="s">
        <v>414</v>
      </c>
      <c r="E33" s="57" t="s">
        <v>415</v>
      </c>
      <c r="F33" s="1113" t="s">
        <v>416</v>
      </c>
      <c r="G33" s="1113" t="s">
        <v>250</v>
      </c>
      <c r="H33" s="1113" t="s">
        <v>414</v>
      </c>
      <c r="I33" s="57" t="s">
        <v>415</v>
      </c>
      <c r="J33" s="1043" t="s">
        <v>416</v>
      </c>
      <c r="K33" s="1043" t="s">
        <v>250</v>
      </c>
      <c r="L33" s="1043" t="s">
        <v>414</v>
      </c>
      <c r="M33" s="57" t="s">
        <v>415</v>
      </c>
      <c r="N33" s="1043" t="s">
        <v>416</v>
      </c>
      <c r="O33" s="1043" t="s">
        <v>250</v>
      </c>
    </row>
    <row r="34" spans="2:15">
      <c r="B34" s="1043"/>
      <c r="C34" s="1043"/>
      <c r="D34" s="1043"/>
      <c r="E34" s="57" t="s">
        <v>417</v>
      </c>
      <c r="F34" s="1113"/>
      <c r="G34" s="1113"/>
      <c r="H34" s="1113"/>
      <c r="I34" s="57" t="s">
        <v>417</v>
      </c>
      <c r="J34" s="1043"/>
      <c r="K34" s="1043"/>
      <c r="L34" s="1043"/>
      <c r="M34" s="57" t="s">
        <v>417</v>
      </c>
      <c r="N34" s="1043"/>
      <c r="O34" s="1043"/>
    </row>
    <row r="35" spans="2:15">
      <c r="B35" s="57">
        <v>1</v>
      </c>
      <c r="C35" s="81" t="s">
        <v>418</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257</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243</v>
      </c>
      <c r="C38" s="114"/>
      <c r="D38" s="114"/>
      <c r="E38" s="114"/>
      <c r="F38" s="114"/>
      <c r="G38" s="114"/>
      <c r="H38" s="114"/>
      <c r="I38" s="114"/>
      <c r="J38" s="114"/>
      <c r="K38" s="114"/>
      <c r="L38" s="114"/>
      <c r="M38" s="114"/>
      <c r="N38" s="114"/>
      <c r="O38" s="114"/>
    </row>
    <row r="39" spans="2:15">
      <c r="B39" s="29" t="s">
        <v>244</v>
      </c>
    </row>
    <row r="40" spans="2:15">
      <c r="B40" s="29" t="s">
        <v>245</v>
      </c>
    </row>
    <row r="41" spans="2:15">
      <c r="B41" s="116" t="s">
        <v>413</v>
      </c>
    </row>
    <row r="42" spans="2:15">
      <c r="B42" s="1043" t="s">
        <v>179</v>
      </c>
      <c r="C42" s="1043" t="s">
        <v>247</v>
      </c>
      <c r="D42" s="1043" t="s">
        <v>216</v>
      </c>
      <c r="E42" s="1043"/>
      <c r="F42" s="1043"/>
      <c r="G42" s="1043"/>
      <c r="H42" s="1043" t="s">
        <v>217</v>
      </c>
      <c r="I42" s="1043"/>
      <c r="J42" s="1043"/>
      <c r="K42" s="1043"/>
      <c r="L42" s="1043" t="s">
        <v>218</v>
      </c>
      <c r="M42" s="1043"/>
      <c r="N42" s="1043"/>
      <c r="O42" s="1043"/>
    </row>
    <row r="43" spans="2:15" ht="25.5">
      <c r="B43" s="1043"/>
      <c r="C43" s="1043"/>
      <c r="D43" s="1043" t="s">
        <v>414</v>
      </c>
      <c r="E43" s="57" t="s">
        <v>415</v>
      </c>
      <c r="F43" s="1043" t="s">
        <v>416</v>
      </c>
      <c r="G43" s="1043" t="s">
        <v>250</v>
      </c>
      <c r="H43" s="1043" t="s">
        <v>414</v>
      </c>
      <c r="I43" s="57" t="s">
        <v>415</v>
      </c>
      <c r="J43" s="1043" t="s">
        <v>416</v>
      </c>
      <c r="K43" s="1043" t="s">
        <v>250</v>
      </c>
      <c r="L43" s="1043" t="s">
        <v>414</v>
      </c>
      <c r="M43" s="57" t="s">
        <v>415</v>
      </c>
      <c r="N43" s="1043" t="s">
        <v>416</v>
      </c>
      <c r="O43" s="1043" t="s">
        <v>250</v>
      </c>
    </row>
    <row r="44" spans="2:15">
      <c r="B44" s="1043"/>
      <c r="C44" s="1043"/>
      <c r="D44" s="1043"/>
      <c r="E44" s="57" t="s">
        <v>417</v>
      </c>
      <c r="F44" s="1043"/>
      <c r="G44" s="1043"/>
      <c r="H44" s="1043"/>
      <c r="I44" s="57" t="s">
        <v>417</v>
      </c>
      <c r="J44" s="1043"/>
      <c r="K44" s="1043"/>
      <c r="L44" s="1043"/>
      <c r="M44" s="57" t="s">
        <v>417</v>
      </c>
      <c r="N44" s="1043"/>
      <c r="O44" s="1043"/>
    </row>
    <row r="45" spans="2:15">
      <c r="B45" s="57">
        <v>1</v>
      </c>
      <c r="C45" s="81" t="s">
        <v>418</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257</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419</v>
      </c>
    </row>
    <row r="50" spans="2:17" s="110" customFormat="1">
      <c r="B50" s="110" t="s">
        <v>238</v>
      </c>
      <c r="N50" s="29"/>
      <c r="O50" s="29"/>
    </row>
    <row r="51" spans="2:17">
      <c r="B51" s="29" t="s">
        <v>239</v>
      </c>
    </row>
    <row r="52" spans="2:17">
      <c r="B52" s="29" t="s">
        <v>240</v>
      </c>
    </row>
    <row r="53" spans="2:17">
      <c r="B53" s="116" t="s">
        <v>420</v>
      </c>
    </row>
    <row r="54" spans="2:17">
      <c r="B54" s="1043" t="s">
        <v>179</v>
      </c>
      <c r="C54" s="1043" t="s">
        <v>247</v>
      </c>
      <c r="D54" s="1043" t="s">
        <v>421</v>
      </c>
      <c r="E54" s="1043" t="s">
        <v>216</v>
      </c>
      <c r="F54" s="1043"/>
      <c r="G54" s="1043"/>
      <c r="H54" s="1043" t="s">
        <v>217</v>
      </c>
      <c r="I54" s="1043"/>
      <c r="J54" s="1043"/>
      <c r="K54" s="1043" t="s">
        <v>218</v>
      </c>
      <c r="L54" s="1043"/>
      <c r="M54" s="1043"/>
    </row>
    <row r="55" spans="2:17">
      <c r="B55" s="1043"/>
      <c r="C55" s="1043"/>
      <c r="D55" s="1043"/>
      <c r="E55" s="1043" t="s">
        <v>422</v>
      </c>
      <c r="F55" s="1043" t="s">
        <v>310</v>
      </c>
      <c r="G55" s="1043" t="s">
        <v>250</v>
      </c>
      <c r="H55" s="1043" t="s">
        <v>422</v>
      </c>
      <c r="I55" s="1043" t="s">
        <v>310</v>
      </c>
      <c r="J55" s="1043" t="s">
        <v>250</v>
      </c>
      <c r="K55" s="1043" t="s">
        <v>422</v>
      </c>
      <c r="L55" s="1043" t="s">
        <v>310</v>
      </c>
      <c r="M55" s="1043" t="s">
        <v>250</v>
      </c>
    </row>
    <row r="56" spans="2:17">
      <c r="B56" s="1043"/>
      <c r="C56" s="1043"/>
      <c r="D56" s="1043"/>
      <c r="E56" s="1043"/>
      <c r="F56" s="1043"/>
      <c r="G56" s="1043"/>
      <c r="H56" s="1043"/>
      <c r="I56" s="1043"/>
      <c r="J56" s="1043"/>
      <c r="K56" s="1043"/>
      <c r="L56" s="1043"/>
      <c r="M56" s="1043"/>
    </row>
    <row r="57" spans="2:17" ht="38.25">
      <c r="B57" s="57">
        <v>1</v>
      </c>
      <c r="C57" s="81" t="s">
        <v>423</v>
      </c>
      <c r="D57" s="57" t="s">
        <v>424</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425</v>
      </c>
      <c r="D58" s="57" t="s">
        <v>400</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426</v>
      </c>
      <c r="D59" s="57" t="s">
        <v>400</v>
      </c>
      <c r="E59" s="57">
        <v>0</v>
      </c>
      <c r="F59" s="74">
        <v>0</v>
      </c>
      <c r="G59" s="74">
        <v>0</v>
      </c>
      <c r="H59" s="57">
        <v>1</v>
      </c>
      <c r="I59" s="74">
        <f t="shared" si="6"/>
        <v>100000</v>
      </c>
      <c r="J59" s="74">
        <v>100000</v>
      </c>
      <c r="K59" s="57">
        <v>1</v>
      </c>
      <c r="L59" s="74">
        <f t="shared" si="7"/>
        <v>100000</v>
      </c>
      <c r="M59" s="74">
        <v>100000</v>
      </c>
    </row>
    <row r="60" spans="2:17" ht="25.5">
      <c r="B60" s="57">
        <v>4</v>
      </c>
      <c r="C60" s="81" t="s">
        <v>427</v>
      </c>
      <c r="D60" s="57" t="s">
        <v>400</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428</v>
      </c>
      <c r="D61" s="57" t="s">
        <v>400</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429</v>
      </c>
      <c r="D62" s="57" t="s">
        <v>400</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430</v>
      </c>
      <c r="D63" s="57" t="s">
        <v>400</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540</v>
      </c>
      <c r="D64" s="253" t="s">
        <v>400</v>
      </c>
      <c r="E64" s="253">
        <v>1</v>
      </c>
      <c r="F64" s="158">
        <f t="shared" si="5"/>
        <v>32389</v>
      </c>
      <c r="G64" s="158">
        <v>32389</v>
      </c>
      <c r="H64" s="253">
        <v>0</v>
      </c>
      <c r="I64" s="158">
        <v>0</v>
      </c>
      <c r="J64" s="158">
        <v>0</v>
      </c>
      <c r="K64" s="253">
        <v>0</v>
      </c>
      <c r="L64" s="158">
        <v>0</v>
      </c>
      <c r="M64" s="158">
        <v>0</v>
      </c>
      <c r="Q64" s="120" t="s">
        <v>431</v>
      </c>
    </row>
    <row r="65" spans="2:15" s="196" customFormat="1" ht="38.25">
      <c r="B65" s="250">
        <v>12</v>
      </c>
      <c r="C65" s="255" t="s">
        <v>432</v>
      </c>
      <c r="D65" s="250" t="s">
        <v>400</v>
      </c>
      <c r="E65" s="250">
        <v>0</v>
      </c>
      <c r="F65" s="256">
        <v>0</v>
      </c>
      <c r="G65" s="256">
        <v>0</v>
      </c>
      <c r="H65" s="250">
        <v>0</v>
      </c>
      <c r="I65" s="256">
        <v>0</v>
      </c>
      <c r="J65" s="256">
        <v>0</v>
      </c>
      <c r="K65" s="250">
        <v>0</v>
      </c>
      <c r="L65" s="256">
        <v>0</v>
      </c>
      <c r="M65" s="256">
        <v>0</v>
      </c>
    </row>
    <row r="66" spans="2:15" ht="25.5">
      <c r="B66" s="257">
        <v>9</v>
      </c>
      <c r="C66" s="281" t="s">
        <v>433</v>
      </c>
      <c r="D66" s="257" t="s">
        <v>400</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434</v>
      </c>
      <c r="D67" s="510" t="s">
        <v>435</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434</v>
      </c>
      <c r="D68" s="510" t="s">
        <v>435</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533</v>
      </c>
      <c r="D69" s="257" t="s">
        <v>435</v>
      </c>
      <c r="E69" s="295" t="s">
        <v>26</v>
      </c>
      <c r="F69" s="286" t="s">
        <v>26</v>
      </c>
      <c r="G69" s="286">
        <v>2200</v>
      </c>
      <c r="H69" s="295" t="s">
        <v>26</v>
      </c>
      <c r="I69" s="286" t="s">
        <v>26</v>
      </c>
      <c r="J69" s="74">
        <v>0</v>
      </c>
      <c r="K69" s="107" t="s">
        <v>26</v>
      </c>
      <c r="L69" s="74" t="s">
        <v>26</v>
      </c>
      <c r="M69" s="74">
        <v>0</v>
      </c>
    </row>
    <row r="70" spans="2:15">
      <c r="B70" s="296"/>
      <c r="C70" s="297" t="s">
        <v>257</v>
      </c>
      <c r="D70" s="294" t="s">
        <v>26</v>
      </c>
      <c r="E70" s="294" t="s">
        <v>26</v>
      </c>
      <c r="F70" s="294" t="s">
        <v>26</v>
      </c>
      <c r="G70" s="286">
        <f>SUM(G57:G69)</f>
        <v>12867695.41</v>
      </c>
      <c r="H70" s="294" t="s">
        <v>26</v>
      </c>
      <c r="I70" s="294" t="s">
        <v>26</v>
      </c>
      <c r="J70" s="74">
        <f>SUM(J57:J69)</f>
        <v>12943683.66</v>
      </c>
      <c r="K70" s="74" t="s">
        <v>26</v>
      </c>
      <c r="L70" s="74" t="s">
        <v>26</v>
      </c>
      <c r="M70" s="74">
        <f>SUM(M57:M69)</f>
        <v>5236245.24</v>
      </c>
      <c r="O70" s="130"/>
    </row>
    <row r="71" spans="2:15">
      <c r="B71" s="56"/>
      <c r="C71" s="82"/>
      <c r="D71" s="56"/>
      <c r="E71" s="56"/>
      <c r="F71" s="83"/>
      <c r="G71" s="83"/>
      <c r="H71" s="56"/>
      <c r="I71" s="83"/>
      <c r="J71" s="83"/>
      <c r="K71" s="56"/>
      <c r="L71" s="83"/>
      <c r="M71" s="83"/>
    </row>
    <row r="72" spans="2:15" s="110" customFormat="1">
      <c r="B72" s="461" t="s">
        <v>238</v>
      </c>
      <c r="C72" s="485"/>
      <c r="D72" s="486"/>
      <c r="E72" s="486"/>
      <c r="F72" s="487"/>
      <c r="G72" s="487"/>
      <c r="H72" s="486"/>
      <c r="I72" s="487"/>
      <c r="J72" s="487"/>
      <c r="K72" s="486"/>
      <c r="L72" s="487"/>
      <c r="M72" s="487"/>
      <c r="N72" s="29"/>
      <c r="O72" s="29"/>
    </row>
    <row r="73" spans="2:15">
      <c r="B73" s="319" t="s">
        <v>239</v>
      </c>
      <c r="C73" s="488"/>
      <c r="D73" s="489"/>
      <c r="E73" s="489"/>
      <c r="F73" s="477"/>
      <c r="G73" s="477"/>
      <c r="H73" s="489"/>
      <c r="I73" s="477"/>
      <c r="J73" s="477"/>
      <c r="K73" s="489"/>
      <c r="L73" s="477"/>
      <c r="M73" s="477"/>
    </row>
    <row r="74" spans="2:15">
      <c r="B74" s="319" t="s">
        <v>240</v>
      </c>
      <c r="C74" s="488"/>
      <c r="D74" s="489"/>
      <c r="E74" s="489"/>
      <c r="F74" s="477"/>
      <c r="G74" s="477"/>
      <c r="H74" s="489"/>
      <c r="I74" s="477"/>
      <c r="J74" s="477"/>
      <c r="K74" s="489"/>
      <c r="L74" s="477"/>
      <c r="M74" s="477"/>
    </row>
    <row r="75" spans="2:15">
      <c r="B75" s="472" t="s">
        <v>653</v>
      </c>
      <c r="C75" s="488"/>
      <c r="D75" s="489"/>
      <c r="E75" s="489"/>
      <c r="F75" s="477"/>
      <c r="G75" s="477"/>
      <c r="H75" s="489"/>
      <c r="I75" s="477"/>
      <c r="J75" s="477"/>
      <c r="K75" s="489"/>
      <c r="L75" s="477"/>
      <c r="M75" s="477"/>
    </row>
    <row r="76" spans="2:15">
      <c r="B76" s="1114" t="s">
        <v>179</v>
      </c>
      <c r="C76" s="1114" t="s">
        <v>247</v>
      </c>
      <c r="D76" s="1114" t="s">
        <v>421</v>
      </c>
      <c r="E76" s="1114" t="s">
        <v>216</v>
      </c>
      <c r="F76" s="1114"/>
      <c r="G76" s="1114"/>
      <c r="H76" s="1114" t="s">
        <v>217</v>
      </c>
      <c r="I76" s="1114"/>
      <c r="J76" s="1114"/>
      <c r="K76" s="1114" t="s">
        <v>218</v>
      </c>
      <c r="L76" s="1114"/>
      <c r="M76" s="1114"/>
    </row>
    <row r="77" spans="2:15">
      <c r="B77" s="1114"/>
      <c r="C77" s="1114"/>
      <c r="D77" s="1114"/>
      <c r="E77" s="1114" t="s">
        <v>422</v>
      </c>
      <c r="F77" s="1115" t="s">
        <v>436</v>
      </c>
      <c r="G77" s="1115" t="s">
        <v>250</v>
      </c>
      <c r="H77" s="1115" t="s">
        <v>422</v>
      </c>
      <c r="I77" s="1114" t="s">
        <v>436</v>
      </c>
      <c r="J77" s="1114" t="s">
        <v>250</v>
      </c>
      <c r="K77" s="1114" t="s">
        <v>422</v>
      </c>
      <c r="L77" s="1114" t="s">
        <v>436</v>
      </c>
      <c r="M77" s="1114" t="s">
        <v>250</v>
      </c>
    </row>
    <row r="78" spans="2:15" ht="17.25" customHeight="1">
      <c r="B78" s="1114"/>
      <c r="C78" s="1114"/>
      <c r="D78" s="1114"/>
      <c r="E78" s="1114"/>
      <c r="F78" s="1115"/>
      <c r="G78" s="1115"/>
      <c r="H78" s="1115"/>
      <c r="I78" s="1114"/>
      <c r="J78" s="1114"/>
      <c r="K78" s="1114"/>
      <c r="L78" s="1114"/>
      <c r="M78" s="1114"/>
    </row>
    <row r="79" spans="2:15" ht="38.25">
      <c r="B79" s="465">
        <v>1</v>
      </c>
      <c r="C79" s="467" t="s">
        <v>629</v>
      </c>
      <c r="D79" s="465" t="s">
        <v>400</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257</v>
      </c>
      <c r="D80" s="491" t="s">
        <v>26</v>
      </c>
      <c r="E80" s="492" t="s">
        <v>26</v>
      </c>
      <c r="F80" s="493" t="s">
        <v>26</v>
      </c>
      <c r="G80" s="468">
        <f>SUM(G79)</f>
        <v>2175316.06</v>
      </c>
      <c r="H80" s="493" t="s">
        <v>26</v>
      </c>
      <c r="I80" s="492" t="s">
        <v>26</v>
      </c>
      <c r="J80" s="476">
        <f>SUM(J79)</f>
        <v>2168787.38</v>
      </c>
      <c r="K80" s="492" t="s">
        <v>26</v>
      </c>
      <c r="L80" s="492" t="s">
        <v>26</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243</v>
      </c>
      <c r="C83" s="114"/>
      <c r="D83" s="114"/>
      <c r="E83" s="114"/>
      <c r="F83" s="114"/>
      <c r="G83" s="114"/>
      <c r="H83" s="114"/>
      <c r="I83" s="114"/>
      <c r="J83" s="114"/>
      <c r="K83" s="114"/>
      <c r="L83" s="114"/>
      <c r="M83" s="114"/>
    </row>
    <row r="84" spans="2:15" s="120" customFormat="1">
      <c r="B84" s="120" t="s">
        <v>244</v>
      </c>
    </row>
    <row r="85" spans="2:15" s="120" customFormat="1">
      <c r="B85" s="116" t="s">
        <v>534</v>
      </c>
      <c r="C85" s="82"/>
      <c r="D85" s="56"/>
      <c r="E85" s="56"/>
      <c r="F85" s="119"/>
      <c r="G85" s="119"/>
      <c r="H85" s="56"/>
      <c r="I85" s="119"/>
      <c r="J85" s="119"/>
      <c r="K85" s="56"/>
      <c r="L85" s="119"/>
      <c r="M85" s="119"/>
    </row>
    <row r="86" spans="2:15" s="120" customFormat="1">
      <c r="B86" s="1043" t="s">
        <v>179</v>
      </c>
      <c r="C86" s="1043" t="s">
        <v>247</v>
      </c>
      <c r="D86" s="1043" t="s">
        <v>421</v>
      </c>
      <c r="E86" s="1043" t="s">
        <v>216</v>
      </c>
      <c r="F86" s="1043"/>
      <c r="G86" s="1043"/>
      <c r="H86" s="1043" t="s">
        <v>217</v>
      </c>
      <c r="I86" s="1043"/>
      <c r="J86" s="1043"/>
      <c r="K86" s="1043" t="s">
        <v>218</v>
      </c>
      <c r="L86" s="1043"/>
      <c r="M86" s="1043"/>
    </row>
    <row r="87" spans="2:15" s="120" customFormat="1">
      <c r="B87" s="1043"/>
      <c r="C87" s="1043"/>
      <c r="D87" s="1043"/>
      <c r="E87" s="1043" t="s">
        <v>422</v>
      </c>
      <c r="F87" s="1043" t="s">
        <v>436</v>
      </c>
      <c r="G87" s="1043" t="s">
        <v>250</v>
      </c>
      <c r="H87" s="1043" t="s">
        <v>422</v>
      </c>
      <c r="I87" s="1043" t="s">
        <v>436</v>
      </c>
      <c r="J87" s="1043" t="s">
        <v>250</v>
      </c>
      <c r="K87" s="1043" t="s">
        <v>422</v>
      </c>
      <c r="L87" s="1043" t="s">
        <v>436</v>
      </c>
      <c r="M87" s="1043" t="s">
        <v>250</v>
      </c>
    </row>
    <row r="88" spans="2:15" s="120" customFormat="1">
      <c r="B88" s="1043"/>
      <c r="C88" s="1043"/>
      <c r="D88" s="1043"/>
      <c r="E88" s="1043"/>
      <c r="F88" s="1043"/>
      <c r="G88" s="1043"/>
      <c r="H88" s="1043"/>
      <c r="I88" s="1043"/>
      <c r="J88" s="1043"/>
      <c r="K88" s="1043"/>
      <c r="L88" s="1043"/>
      <c r="M88" s="1043"/>
    </row>
    <row r="89" spans="2:15" s="120" customFormat="1" ht="38.25">
      <c r="B89" s="253">
        <v>1</v>
      </c>
      <c r="C89" s="254" t="s">
        <v>539</v>
      </c>
      <c r="D89" s="253" t="s">
        <v>400</v>
      </c>
      <c r="E89" s="253">
        <v>7</v>
      </c>
      <c r="F89" s="158">
        <f t="shared" ref="F89" si="8">G89/E89</f>
        <v>107142.86</v>
      </c>
      <c r="G89" s="158">
        <v>750000</v>
      </c>
      <c r="H89" s="253">
        <v>0</v>
      </c>
      <c r="I89" s="158">
        <v>0</v>
      </c>
      <c r="J89" s="158">
        <v>0</v>
      </c>
      <c r="K89" s="253">
        <v>0</v>
      </c>
      <c r="L89" s="158">
        <v>0</v>
      </c>
      <c r="M89" s="158">
        <v>0</v>
      </c>
    </row>
    <row r="90" spans="2:15" s="120" customFormat="1">
      <c r="B90" s="117"/>
      <c r="C90" s="128" t="s">
        <v>257</v>
      </c>
      <c r="D90" s="37" t="s">
        <v>26</v>
      </c>
      <c r="E90" s="98" t="s">
        <v>26</v>
      </c>
      <c r="F90" s="98" t="s">
        <v>26</v>
      </c>
      <c r="G90" s="158">
        <f>SUM(G89)</f>
        <v>750000</v>
      </c>
      <c r="H90" s="98" t="s">
        <v>26</v>
      </c>
      <c r="I90" s="98" t="s">
        <v>26</v>
      </c>
      <c r="J90" s="158">
        <f>SUM(J89)</f>
        <v>0</v>
      </c>
      <c r="K90" s="98" t="s">
        <v>26</v>
      </c>
      <c r="L90" s="98" t="s">
        <v>26</v>
      </c>
      <c r="M90" s="158">
        <f>SUM(M89)</f>
        <v>0</v>
      </c>
      <c r="O90" s="130"/>
    </row>
    <row r="91" spans="2:15" s="120" customFormat="1">
      <c r="B91" s="116"/>
      <c r="C91" s="131"/>
      <c r="G91" s="119"/>
      <c r="J91" s="119"/>
      <c r="K91" s="119"/>
      <c r="L91" s="119"/>
      <c r="M91" s="119"/>
      <c r="O91" s="130"/>
    </row>
    <row r="92" spans="2:15">
      <c r="B92" s="114" t="s">
        <v>243</v>
      </c>
      <c r="C92" s="114"/>
      <c r="D92" s="114"/>
      <c r="E92" s="114"/>
      <c r="F92" s="114"/>
      <c r="G92" s="114"/>
      <c r="H92" s="114"/>
      <c r="I92" s="114"/>
      <c r="J92" s="114"/>
      <c r="K92" s="114"/>
      <c r="L92" s="114"/>
      <c r="M92" s="114"/>
    </row>
    <row r="93" spans="2:15">
      <c r="B93" s="29" t="s">
        <v>244</v>
      </c>
    </row>
    <row r="94" spans="2:15">
      <c r="B94" s="29" t="s">
        <v>413</v>
      </c>
    </row>
    <row r="95" spans="2:15">
      <c r="B95" s="1043" t="s">
        <v>179</v>
      </c>
      <c r="C95" s="1043" t="s">
        <v>247</v>
      </c>
      <c r="D95" s="1043" t="s">
        <v>421</v>
      </c>
      <c r="E95" s="1043" t="s">
        <v>216</v>
      </c>
      <c r="F95" s="1043"/>
      <c r="G95" s="1043"/>
      <c r="H95" s="1043" t="s">
        <v>217</v>
      </c>
      <c r="I95" s="1043"/>
      <c r="J95" s="1043"/>
      <c r="K95" s="1043" t="s">
        <v>218</v>
      </c>
      <c r="L95" s="1043"/>
      <c r="M95" s="1043"/>
    </row>
    <row r="96" spans="2:15" ht="25.5">
      <c r="B96" s="1043"/>
      <c r="C96" s="1043"/>
      <c r="D96" s="1043"/>
      <c r="E96" s="274" t="s">
        <v>422</v>
      </c>
      <c r="F96" s="274" t="s">
        <v>310</v>
      </c>
      <c r="G96" s="274" t="s">
        <v>250</v>
      </c>
      <c r="H96" s="274" t="s">
        <v>422</v>
      </c>
      <c r="I96" s="274" t="s">
        <v>310</v>
      </c>
      <c r="J96" s="274" t="s">
        <v>250</v>
      </c>
      <c r="K96" s="274" t="s">
        <v>422</v>
      </c>
      <c r="L96" s="274" t="s">
        <v>310</v>
      </c>
      <c r="M96" s="274" t="s">
        <v>250</v>
      </c>
    </row>
    <row r="97" spans="2:13" ht="38.25">
      <c r="B97" s="257">
        <v>1</v>
      </c>
      <c r="C97" s="281" t="s">
        <v>630</v>
      </c>
      <c r="D97" s="257" t="s">
        <v>400</v>
      </c>
      <c r="E97" s="257">
        <v>0</v>
      </c>
      <c r="F97" s="279">
        <v>0</v>
      </c>
      <c r="G97" s="279">
        <v>0</v>
      </c>
      <c r="H97" s="257">
        <v>8</v>
      </c>
      <c r="I97" s="74">
        <f>J97/H97</f>
        <v>52323.75</v>
      </c>
      <c r="J97" s="74">
        <v>418590</v>
      </c>
      <c r="K97" s="57">
        <v>8</v>
      </c>
      <c r="L97" s="74">
        <f>M97/K97</f>
        <v>52323.75</v>
      </c>
      <c r="M97" s="74">
        <v>418590</v>
      </c>
    </row>
    <row r="98" spans="2:13" ht="38.25">
      <c r="B98" s="57">
        <v>2</v>
      </c>
      <c r="C98" s="81" t="s">
        <v>631</v>
      </c>
      <c r="D98" s="57" t="s">
        <v>400</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632</v>
      </c>
      <c r="D99" s="57" t="s">
        <v>400</v>
      </c>
      <c r="E99" s="57">
        <v>0</v>
      </c>
      <c r="F99" s="74">
        <v>0</v>
      </c>
      <c r="G99" s="74">
        <v>0</v>
      </c>
      <c r="H99" s="57">
        <v>10</v>
      </c>
      <c r="I99" s="74">
        <f>J99/H99</f>
        <v>7678.82</v>
      </c>
      <c r="J99" s="74">
        <v>76788.2</v>
      </c>
      <c r="K99" s="57">
        <v>10</v>
      </c>
      <c r="L99" s="74">
        <f>M99/K99</f>
        <v>7678.82</v>
      </c>
      <c r="M99" s="74">
        <v>76788.2</v>
      </c>
    </row>
    <row r="100" spans="2:13" ht="51">
      <c r="B100" s="57">
        <v>4</v>
      </c>
      <c r="C100" s="81" t="s">
        <v>651</v>
      </c>
      <c r="D100" s="57" t="s">
        <v>400</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633</v>
      </c>
      <c r="D101" s="182" t="s">
        <v>400</v>
      </c>
      <c r="E101" s="182">
        <v>4</v>
      </c>
      <c r="F101" s="158">
        <f>G101/E101</f>
        <v>3150</v>
      </c>
      <c r="G101" s="158">
        <v>12600</v>
      </c>
      <c r="H101" s="182">
        <v>0</v>
      </c>
      <c r="I101" s="158">
        <v>0</v>
      </c>
      <c r="J101" s="158">
        <v>0</v>
      </c>
      <c r="K101" s="182">
        <v>0</v>
      </c>
      <c r="L101" s="158">
        <v>0</v>
      </c>
      <c r="M101" s="158">
        <v>0</v>
      </c>
    </row>
    <row r="102" spans="2:13" ht="76.5">
      <c r="B102" s="182">
        <v>6</v>
      </c>
      <c r="C102" s="183" t="s">
        <v>634</v>
      </c>
      <c r="D102" s="182" t="s">
        <v>400</v>
      </c>
      <c r="E102" s="182">
        <v>1</v>
      </c>
      <c r="F102" s="158">
        <v>8400</v>
      </c>
      <c r="G102" s="158">
        <f>F102*E102</f>
        <v>8400</v>
      </c>
      <c r="H102" s="182">
        <v>0</v>
      </c>
      <c r="I102" s="158">
        <v>0</v>
      </c>
      <c r="J102" s="158">
        <v>0</v>
      </c>
      <c r="K102" s="182">
        <v>0</v>
      </c>
      <c r="L102" s="158">
        <v>0</v>
      </c>
      <c r="M102" s="158">
        <v>0</v>
      </c>
    </row>
    <row r="103" spans="2:13" s="120" customFormat="1" ht="38.25">
      <c r="B103" s="182">
        <v>7</v>
      </c>
      <c r="C103" s="183" t="s">
        <v>489</v>
      </c>
      <c r="D103" s="182" t="s">
        <v>400</v>
      </c>
      <c r="E103" s="182">
        <v>1</v>
      </c>
      <c r="F103" s="158">
        <v>99000</v>
      </c>
      <c r="G103" s="158">
        <f>F103*E103</f>
        <v>99000</v>
      </c>
      <c r="H103" s="182">
        <v>0</v>
      </c>
      <c r="I103" s="158">
        <v>0</v>
      </c>
      <c r="J103" s="158">
        <v>0</v>
      </c>
      <c r="K103" s="182">
        <v>0</v>
      </c>
      <c r="L103" s="158">
        <v>0</v>
      </c>
      <c r="M103" s="158">
        <v>0</v>
      </c>
    </row>
    <row r="104" spans="2:13" s="120" customFormat="1" ht="51">
      <c r="B104" s="182">
        <v>8</v>
      </c>
      <c r="C104" s="183" t="s">
        <v>635</v>
      </c>
      <c r="D104" s="182" t="s">
        <v>400</v>
      </c>
      <c r="E104" s="182">
        <v>2</v>
      </c>
      <c r="F104" s="158">
        <f>G104/E104</f>
        <v>2600</v>
      </c>
      <c r="G104" s="158">
        <v>5200</v>
      </c>
      <c r="H104" s="182">
        <v>0</v>
      </c>
      <c r="I104" s="158">
        <v>0</v>
      </c>
      <c r="J104" s="158">
        <v>0</v>
      </c>
      <c r="K104" s="182">
        <v>0</v>
      </c>
      <c r="L104" s="158">
        <v>0</v>
      </c>
      <c r="M104" s="158">
        <v>0</v>
      </c>
    </row>
    <row r="105" spans="2:13" s="120" customFormat="1" ht="51">
      <c r="B105" s="182">
        <v>9</v>
      </c>
      <c r="C105" s="183" t="s">
        <v>636</v>
      </c>
      <c r="D105" s="182" t="s">
        <v>400</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488</v>
      </c>
      <c r="D106" s="182" t="s">
        <v>400</v>
      </c>
      <c r="E106" s="182">
        <v>1</v>
      </c>
      <c r="F106" s="158">
        <v>19200</v>
      </c>
      <c r="G106" s="158">
        <f>E106*F106</f>
        <v>19200</v>
      </c>
      <c r="H106" s="182">
        <v>0</v>
      </c>
      <c r="I106" s="158">
        <v>0</v>
      </c>
      <c r="J106" s="158">
        <v>0</v>
      </c>
      <c r="K106" s="182">
        <v>0</v>
      </c>
      <c r="L106" s="158">
        <v>0</v>
      </c>
      <c r="M106" s="158">
        <v>0</v>
      </c>
    </row>
    <row r="107" spans="2:13" s="120" customFormat="1" ht="51">
      <c r="B107" s="182">
        <v>11</v>
      </c>
      <c r="C107" s="183" t="s">
        <v>637</v>
      </c>
      <c r="D107" s="182" t="s">
        <v>400</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638</v>
      </c>
      <c r="D108" s="182" t="s">
        <v>400</v>
      </c>
      <c r="E108" s="182">
        <v>1</v>
      </c>
      <c r="F108" s="158">
        <f>G108/E108</f>
        <v>24900</v>
      </c>
      <c r="G108" s="158">
        <v>24900</v>
      </c>
      <c r="H108" s="182">
        <v>0</v>
      </c>
      <c r="I108" s="158">
        <v>0</v>
      </c>
      <c r="J108" s="158">
        <v>0</v>
      </c>
      <c r="K108" s="182">
        <v>0</v>
      </c>
      <c r="L108" s="158">
        <v>0</v>
      </c>
      <c r="M108" s="158">
        <v>0</v>
      </c>
    </row>
    <row r="109" spans="2:13" s="120" customFormat="1" ht="25.5">
      <c r="B109" s="182">
        <v>13</v>
      </c>
      <c r="C109" s="81" t="s">
        <v>639</v>
      </c>
      <c r="D109" s="57" t="s">
        <v>400</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640</v>
      </c>
      <c r="D110" s="57" t="s">
        <v>400</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641</v>
      </c>
      <c r="D111" s="274" t="s">
        <v>400</v>
      </c>
      <c r="E111" s="274">
        <v>1</v>
      </c>
      <c r="F111" s="275">
        <v>60000</v>
      </c>
      <c r="G111" s="275">
        <v>60000</v>
      </c>
      <c r="H111" s="274">
        <v>0</v>
      </c>
      <c r="I111" s="275">
        <v>0</v>
      </c>
      <c r="J111" s="275">
        <v>0</v>
      </c>
      <c r="K111" s="274">
        <v>0</v>
      </c>
      <c r="L111" s="275">
        <v>0</v>
      </c>
      <c r="M111" s="275">
        <v>0</v>
      </c>
    </row>
    <row r="112" spans="2:13" ht="38.25">
      <c r="B112" s="182">
        <v>16</v>
      </c>
      <c r="C112" s="81" t="s">
        <v>642</v>
      </c>
      <c r="D112" s="57" t="s">
        <v>400</v>
      </c>
      <c r="E112" s="57">
        <v>12</v>
      </c>
      <c r="F112" s="74">
        <v>10000</v>
      </c>
      <c r="G112" s="74">
        <v>156000</v>
      </c>
      <c r="H112" s="57">
        <v>12</v>
      </c>
      <c r="I112" s="74">
        <v>10000</v>
      </c>
      <c r="J112" s="74">
        <v>100700.4</v>
      </c>
      <c r="K112" s="57">
        <v>12</v>
      </c>
      <c r="L112" s="74">
        <v>10000</v>
      </c>
      <c r="M112" s="74">
        <v>111183.88</v>
      </c>
    </row>
    <row r="113" spans="2:17" ht="51">
      <c r="B113" s="271">
        <v>17</v>
      </c>
      <c r="C113" s="273" t="s">
        <v>643</v>
      </c>
      <c r="D113" s="271" t="s">
        <v>400</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544</v>
      </c>
      <c r="D114" s="271" t="s">
        <v>400</v>
      </c>
      <c r="E114" s="271">
        <v>1</v>
      </c>
      <c r="F114" s="272">
        <f t="shared" si="9"/>
        <v>6350</v>
      </c>
      <c r="G114" s="272">
        <v>6350</v>
      </c>
      <c r="H114" s="271">
        <v>0</v>
      </c>
      <c r="I114" s="272">
        <v>0</v>
      </c>
      <c r="J114" s="272">
        <v>0</v>
      </c>
      <c r="K114" s="271">
        <v>0</v>
      </c>
      <c r="L114" s="272">
        <v>0</v>
      </c>
      <c r="M114" s="272">
        <v>0</v>
      </c>
    </row>
    <row r="115" spans="2:17" ht="51">
      <c r="B115" s="274">
        <v>19</v>
      </c>
      <c r="C115" s="276" t="s">
        <v>644</v>
      </c>
      <c r="D115" s="274" t="s">
        <v>400</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257</v>
      </c>
      <c r="D116" s="98" t="s">
        <v>26</v>
      </c>
      <c r="E116" s="98" t="s">
        <v>26</v>
      </c>
      <c r="F116" s="293" t="s">
        <v>26</v>
      </c>
      <c r="G116" s="293">
        <f>G97+G98+G99+G100+G101+G102+G103+G104+G105+G106+G107+G108+G109+G110+G111+G112+G113+G114+G115</f>
        <v>1226359.6599999999</v>
      </c>
      <c r="H116" s="294" t="s">
        <v>26</v>
      </c>
      <c r="I116" s="102" t="s">
        <v>26</v>
      </c>
      <c r="J116" s="102">
        <f>SUM(J97:J115)</f>
        <v>2662888.88</v>
      </c>
      <c r="K116" s="102" t="s">
        <v>26</v>
      </c>
      <c r="L116" s="102" t="s">
        <v>26</v>
      </c>
      <c r="M116" s="102">
        <f>SUM(M97:M115)</f>
        <v>2675018.4700000002</v>
      </c>
    </row>
    <row r="118" spans="2:17">
      <c r="B118" s="85" t="s">
        <v>246</v>
      </c>
      <c r="C118" s="85"/>
      <c r="D118" s="85"/>
      <c r="E118" s="85"/>
      <c r="F118" s="85"/>
      <c r="G118" s="85"/>
      <c r="H118" s="85"/>
      <c r="I118" s="85"/>
      <c r="J118" s="85"/>
      <c r="K118" s="85"/>
      <c r="L118" s="85"/>
      <c r="M118" s="85"/>
    </row>
    <row r="119" spans="2:17">
      <c r="B119" s="29" t="s">
        <v>242</v>
      </c>
    </row>
    <row r="120" spans="2:17">
      <c r="B120" s="29" t="s">
        <v>438</v>
      </c>
    </row>
    <row r="121" spans="2:17" s="110" customFormat="1">
      <c r="B121" s="116" t="s">
        <v>439</v>
      </c>
      <c r="C121" s="259"/>
      <c r="D121" s="259"/>
      <c r="E121" s="259"/>
      <c r="F121" s="259"/>
      <c r="G121" s="259"/>
      <c r="H121" s="259"/>
      <c r="I121" s="259"/>
      <c r="J121" s="259"/>
      <c r="K121" s="259"/>
      <c r="L121" s="259"/>
      <c r="M121" s="259"/>
      <c r="N121" s="29"/>
      <c r="O121" s="29"/>
    </row>
    <row r="122" spans="2:17">
      <c r="B122" s="1043" t="s">
        <v>179</v>
      </c>
      <c r="C122" s="1043" t="s">
        <v>247</v>
      </c>
      <c r="D122" s="1043" t="s">
        <v>421</v>
      </c>
      <c r="E122" s="1043" t="s">
        <v>216</v>
      </c>
      <c r="F122" s="1043"/>
      <c r="G122" s="1043"/>
      <c r="H122" s="1043" t="s">
        <v>217</v>
      </c>
      <c r="I122" s="1043"/>
      <c r="J122" s="1043"/>
      <c r="K122" s="1043" t="s">
        <v>218</v>
      </c>
      <c r="L122" s="1043"/>
      <c r="M122" s="1043"/>
    </row>
    <row r="123" spans="2:17">
      <c r="B123" s="1043"/>
      <c r="C123" s="1043"/>
      <c r="D123" s="1043"/>
      <c r="E123" s="1043" t="s">
        <v>422</v>
      </c>
      <c r="F123" s="1043" t="s">
        <v>310</v>
      </c>
      <c r="G123" s="1043" t="s">
        <v>250</v>
      </c>
      <c r="H123" s="1043" t="s">
        <v>422</v>
      </c>
      <c r="I123" s="57" t="s">
        <v>369</v>
      </c>
      <c r="J123" s="1043" t="s">
        <v>250</v>
      </c>
      <c r="K123" s="1043" t="s">
        <v>422</v>
      </c>
      <c r="L123" s="57" t="s">
        <v>369</v>
      </c>
      <c r="M123" s="1043" t="s">
        <v>250</v>
      </c>
    </row>
    <row r="124" spans="2:17">
      <c r="B124" s="1043"/>
      <c r="C124" s="1043"/>
      <c r="D124" s="1043"/>
      <c r="E124" s="1043"/>
      <c r="F124" s="1043"/>
      <c r="G124" s="1043"/>
      <c r="H124" s="1043"/>
      <c r="I124" s="57" t="s">
        <v>437</v>
      </c>
      <c r="J124" s="1043"/>
      <c r="K124" s="1043"/>
      <c r="L124" s="57" t="s">
        <v>437</v>
      </c>
      <c r="M124" s="1043"/>
    </row>
    <row r="125" spans="2:17" ht="25.5">
      <c r="B125" s="57">
        <v>1</v>
      </c>
      <c r="C125" s="81" t="s">
        <v>440</v>
      </c>
      <c r="D125" s="57" t="s">
        <v>400</v>
      </c>
      <c r="E125" s="57">
        <v>1</v>
      </c>
      <c r="F125" s="100">
        <v>52833.25</v>
      </c>
      <c r="G125" s="100">
        <v>0</v>
      </c>
      <c r="H125" s="107">
        <v>0</v>
      </c>
      <c r="I125" s="107">
        <v>0</v>
      </c>
      <c r="J125" s="107">
        <v>0</v>
      </c>
      <c r="K125" s="107">
        <v>0</v>
      </c>
      <c r="L125" s="107">
        <v>0</v>
      </c>
      <c r="M125" s="107">
        <v>0</v>
      </c>
    </row>
    <row r="126" spans="2:17">
      <c r="B126" s="117"/>
      <c r="C126" s="128" t="s">
        <v>257</v>
      </c>
      <c r="D126" s="37" t="s">
        <v>26</v>
      </c>
      <c r="E126" s="99">
        <f>SUM(E125)</f>
        <v>1</v>
      </c>
      <c r="F126" s="100">
        <f>SUM(F125)</f>
        <v>52833.25</v>
      </c>
      <c r="G126" s="100">
        <f>SUM(G125)</f>
        <v>0</v>
      </c>
      <c r="H126" s="107">
        <v>0</v>
      </c>
      <c r="I126" s="107">
        <v>0</v>
      </c>
      <c r="J126" s="107">
        <v>0</v>
      </c>
      <c r="K126" s="107">
        <v>0</v>
      </c>
      <c r="L126" s="107">
        <v>0</v>
      </c>
      <c r="M126" s="107">
        <v>0</v>
      </c>
    </row>
    <row r="127" spans="2:17">
      <c r="Q127" s="29" t="s">
        <v>441</v>
      </c>
    </row>
    <row r="128" spans="2:17" ht="15.75">
      <c r="B128" s="1" t="s">
        <v>442</v>
      </c>
    </row>
    <row r="129" spans="2:13">
      <c r="B129" s="29" t="s">
        <v>291</v>
      </c>
    </row>
    <row r="130" spans="2:13">
      <c r="B130" s="116" t="s">
        <v>292</v>
      </c>
    </row>
    <row r="131" spans="2:13">
      <c r="B131" s="1043" t="s">
        <v>179</v>
      </c>
      <c r="C131" s="1043" t="s">
        <v>247</v>
      </c>
      <c r="D131" s="1043" t="s">
        <v>443</v>
      </c>
      <c r="E131" s="1043" t="s">
        <v>277</v>
      </c>
      <c r="F131" s="1043"/>
      <c r="G131" s="1043"/>
      <c r="H131" s="1043" t="s">
        <v>278</v>
      </c>
      <c r="I131" s="1043"/>
      <c r="J131" s="1043"/>
      <c r="K131" s="1043" t="s">
        <v>279</v>
      </c>
      <c r="L131" s="1043"/>
      <c r="M131" s="1043"/>
    </row>
    <row r="132" spans="2:13">
      <c r="B132" s="1043"/>
      <c r="C132" s="1043"/>
      <c r="D132" s="1043"/>
      <c r="E132" s="1043" t="s">
        <v>422</v>
      </c>
      <c r="F132" s="1043" t="s">
        <v>310</v>
      </c>
      <c r="G132" s="1043" t="s">
        <v>250</v>
      </c>
      <c r="H132" s="1043" t="s">
        <v>422</v>
      </c>
      <c r="I132" s="57" t="s">
        <v>369</v>
      </c>
      <c r="J132" s="1043" t="s">
        <v>250</v>
      </c>
      <c r="K132" s="1043" t="s">
        <v>422</v>
      </c>
      <c r="L132" s="57" t="s">
        <v>369</v>
      </c>
      <c r="M132" s="1043" t="s">
        <v>250</v>
      </c>
    </row>
    <row r="133" spans="2:13">
      <c r="B133" s="1043"/>
      <c r="C133" s="1043"/>
      <c r="D133" s="1043"/>
      <c r="E133" s="1043"/>
      <c r="F133" s="1043"/>
      <c r="G133" s="1043"/>
      <c r="H133" s="1043"/>
      <c r="I133" s="57" t="s">
        <v>437</v>
      </c>
      <c r="J133" s="1043"/>
      <c r="K133" s="1043"/>
      <c r="L133" s="57" t="s">
        <v>437</v>
      </c>
      <c r="M133" s="1043"/>
    </row>
    <row r="134" spans="2:13">
      <c r="B134" s="81"/>
      <c r="C134" s="81"/>
      <c r="D134" s="90"/>
      <c r="E134" s="90"/>
      <c r="F134" s="90"/>
      <c r="G134" s="90"/>
      <c r="H134" s="90"/>
      <c r="I134" s="90"/>
      <c r="J134" s="90"/>
      <c r="K134" s="90"/>
      <c r="L134" s="90"/>
      <c r="M134" s="90"/>
    </row>
    <row r="135" spans="2:13" ht="15.75">
      <c r="B135" s="1" t="s">
        <v>444</v>
      </c>
    </row>
    <row r="137" spans="2:13">
      <c r="B137" s="29" t="s">
        <v>291</v>
      </c>
    </row>
    <row r="139" spans="2:13">
      <c r="B139" s="116" t="s">
        <v>292</v>
      </c>
    </row>
    <row r="140" spans="2:13">
      <c r="B140" s="1043" t="s">
        <v>179</v>
      </c>
      <c r="C140" s="1043" t="s">
        <v>247</v>
      </c>
      <c r="D140" s="1043" t="s">
        <v>443</v>
      </c>
      <c r="E140" s="1043" t="s">
        <v>277</v>
      </c>
      <c r="F140" s="1043"/>
      <c r="G140" s="1043"/>
      <c r="H140" s="1043" t="s">
        <v>278</v>
      </c>
      <c r="I140" s="1043"/>
      <c r="J140" s="1043"/>
      <c r="K140" s="1043" t="s">
        <v>279</v>
      </c>
      <c r="L140" s="1043"/>
      <c r="M140" s="1043"/>
    </row>
    <row r="141" spans="2:13">
      <c r="B141" s="1043"/>
      <c r="C141" s="1043"/>
      <c r="D141" s="1043"/>
      <c r="E141" s="1043" t="s">
        <v>422</v>
      </c>
      <c r="F141" s="1043" t="s">
        <v>310</v>
      </c>
      <c r="G141" s="1043" t="s">
        <v>250</v>
      </c>
      <c r="H141" s="1043" t="s">
        <v>422</v>
      </c>
      <c r="I141" s="57" t="s">
        <v>369</v>
      </c>
      <c r="J141" s="1043" t="s">
        <v>250</v>
      </c>
      <c r="K141" s="1043" t="s">
        <v>422</v>
      </c>
      <c r="L141" s="57" t="s">
        <v>403</v>
      </c>
      <c r="M141" s="1043" t="s">
        <v>250</v>
      </c>
    </row>
    <row r="142" spans="2:13">
      <c r="B142" s="1043"/>
      <c r="C142" s="1043"/>
      <c r="D142" s="1043"/>
      <c r="E142" s="1043"/>
      <c r="F142" s="1043"/>
      <c r="G142" s="1043"/>
      <c r="H142" s="1043"/>
      <c r="I142" s="57" t="s">
        <v>437</v>
      </c>
      <c r="J142" s="1043"/>
      <c r="K142" s="1043"/>
      <c r="L142" s="57" t="s">
        <v>445</v>
      </c>
      <c r="M142" s="1043"/>
    </row>
    <row r="143" spans="2:13">
      <c r="B143" s="85" t="s">
        <v>246</v>
      </c>
      <c r="C143" s="85"/>
      <c r="D143" s="85"/>
      <c r="E143" s="85"/>
      <c r="F143" s="85"/>
      <c r="G143" s="85"/>
      <c r="H143" s="85"/>
      <c r="I143" s="85"/>
      <c r="J143" s="85"/>
      <c r="K143" s="85"/>
      <c r="L143" s="85"/>
      <c r="M143" s="85"/>
    </row>
    <row r="144" spans="2:13">
      <c r="B144" s="29" t="s">
        <v>242</v>
      </c>
    </row>
    <row r="145" spans="2:15">
      <c r="B145" s="29" t="s">
        <v>282</v>
      </c>
    </row>
    <row r="146" spans="2:15">
      <c r="B146" s="116" t="s">
        <v>413</v>
      </c>
    </row>
    <row r="147" spans="2:15" s="110" customFormat="1">
      <c r="B147" s="1043" t="s">
        <v>179</v>
      </c>
      <c r="C147" s="1043" t="s">
        <v>247</v>
      </c>
      <c r="D147" s="1043" t="s">
        <v>421</v>
      </c>
      <c r="E147" s="1043" t="s">
        <v>216</v>
      </c>
      <c r="F147" s="1043"/>
      <c r="G147" s="1043"/>
      <c r="H147" s="1043" t="s">
        <v>217</v>
      </c>
      <c r="I147" s="1043"/>
      <c r="J147" s="1043"/>
      <c r="K147" s="1043" t="s">
        <v>218</v>
      </c>
      <c r="L147" s="1043"/>
      <c r="M147" s="1043"/>
      <c r="N147" s="29"/>
      <c r="O147" s="29"/>
    </row>
    <row r="148" spans="2:15">
      <c r="B148" s="1043"/>
      <c r="C148" s="1043"/>
      <c r="D148" s="1043"/>
      <c r="E148" s="1043" t="s">
        <v>422</v>
      </c>
      <c r="F148" s="1043" t="s">
        <v>310</v>
      </c>
      <c r="G148" s="1043" t="s">
        <v>250</v>
      </c>
      <c r="H148" s="1043" t="s">
        <v>422</v>
      </c>
      <c r="I148" s="57" t="s">
        <v>369</v>
      </c>
      <c r="J148" s="1043" t="s">
        <v>250</v>
      </c>
      <c r="K148" s="1043" t="s">
        <v>422</v>
      </c>
      <c r="L148" s="57" t="s">
        <v>369</v>
      </c>
      <c r="M148" s="1043" t="s">
        <v>250</v>
      </c>
    </row>
    <row r="149" spans="2:15">
      <c r="B149" s="1043"/>
      <c r="C149" s="1043"/>
      <c r="D149" s="1043"/>
      <c r="E149" s="1043"/>
      <c r="F149" s="1043"/>
      <c r="G149" s="1043"/>
      <c r="H149" s="1043"/>
      <c r="I149" s="57" t="s">
        <v>437</v>
      </c>
      <c r="J149" s="1043"/>
      <c r="K149" s="1043"/>
      <c r="L149" s="57" t="s">
        <v>437</v>
      </c>
      <c r="M149" s="1043"/>
    </row>
    <row r="150" spans="2:15" ht="25.5">
      <c r="B150" s="57">
        <v>1</v>
      </c>
      <c r="C150" s="81" t="s">
        <v>446</v>
      </c>
      <c r="D150" s="134" t="s">
        <v>400</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447</v>
      </c>
      <c r="D151" s="134" t="s">
        <v>400</v>
      </c>
      <c r="E151" s="134">
        <v>0</v>
      </c>
      <c r="F151" s="100" t="e">
        <f t="shared" si="11"/>
        <v>#DIV/0!</v>
      </c>
      <c r="G151" s="100">
        <v>0</v>
      </c>
      <c r="H151" s="135">
        <v>0</v>
      </c>
      <c r="I151" s="135">
        <v>0</v>
      </c>
      <c r="J151" s="135">
        <v>0</v>
      </c>
      <c r="K151" s="135">
        <v>0</v>
      </c>
      <c r="L151" s="135">
        <v>0</v>
      </c>
      <c r="M151" s="135">
        <v>0</v>
      </c>
    </row>
    <row r="152" spans="2:15">
      <c r="B152" s="57">
        <v>3</v>
      </c>
      <c r="C152" s="81" t="s">
        <v>448</v>
      </c>
      <c r="D152" s="134" t="s">
        <v>400</v>
      </c>
      <c r="E152" s="134">
        <v>0</v>
      </c>
      <c r="F152" s="100">
        <v>0</v>
      </c>
      <c r="G152" s="100">
        <v>0</v>
      </c>
      <c r="H152" s="135">
        <v>0</v>
      </c>
      <c r="I152" s="135">
        <v>0</v>
      </c>
      <c r="J152" s="135">
        <v>0</v>
      </c>
      <c r="K152" s="135">
        <v>0</v>
      </c>
      <c r="L152" s="135">
        <v>0</v>
      </c>
      <c r="M152" s="135">
        <v>0</v>
      </c>
    </row>
    <row r="153" spans="2:15">
      <c r="B153" s="117"/>
      <c r="C153" s="128" t="s">
        <v>257</v>
      </c>
      <c r="D153" s="37" t="s">
        <v>26</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449</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238</v>
      </c>
      <c r="C157" s="539"/>
      <c r="D157" s="539"/>
      <c r="E157" s="539"/>
      <c r="F157" s="539"/>
      <c r="G157" s="539"/>
      <c r="H157" s="539"/>
      <c r="I157" s="539"/>
      <c r="J157" s="539"/>
      <c r="K157" s="539"/>
      <c r="L157" s="539"/>
      <c r="M157" s="539"/>
    </row>
    <row r="158" spans="2:15">
      <c r="B158" s="374" t="s">
        <v>239</v>
      </c>
      <c r="C158" s="374"/>
      <c r="D158" s="374"/>
      <c r="E158" s="374"/>
      <c r="F158" s="374"/>
      <c r="G158" s="374"/>
      <c r="H158" s="374"/>
      <c r="I158" s="374"/>
      <c r="J158" s="374"/>
      <c r="K158" s="374"/>
      <c r="L158" s="374"/>
      <c r="M158" s="374"/>
    </row>
    <row r="159" spans="2:15">
      <c r="B159" s="374" t="s">
        <v>655</v>
      </c>
      <c r="C159" s="374"/>
      <c r="D159" s="374"/>
      <c r="E159" s="374"/>
      <c r="F159" s="374"/>
      <c r="G159" s="374"/>
      <c r="H159" s="374"/>
      <c r="I159" s="374"/>
      <c r="J159" s="374"/>
      <c r="K159" s="374"/>
      <c r="L159" s="374"/>
      <c r="M159" s="374"/>
    </row>
    <row r="160" spans="2:15">
      <c r="B160" s="583" t="s">
        <v>679</v>
      </c>
      <c r="C160" s="374"/>
      <c r="D160" s="374"/>
      <c r="E160" s="374"/>
      <c r="F160" s="374"/>
      <c r="G160" s="374"/>
      <c r="H160" s="374"/>
      <c r="I160" s="374"/>
      <c r="J160" s="374"/>
      <c r="K160" s="374"/>
      <c r="L160" s="374"/>
      <c r="M160" s="374"/>
    </row>
    <row r="161" spans="2:16">
      <c r="B161" s="1072" t="s">
        <v>179</v>
      </c>
      <c r="C161" s="1072" t="s">
        <v>247</v>
      </c>
      <c r="D161" s="1072" t="s">
        <v>443</v>
      </c>
      <c r="E161" s="1073" t="s">
        <v>562</v>
      </c>
      <c r="F161" s="1086"/>
      <c r="G161" s="1074"/>
      <c r="H161" s="1073" t="s">
        <v>563</v>
      </c>
      <c r="I161" s="1086"/>
      <c r="J161" s="1074"/>
      <c r="K161" s="1073" t="s">
        <v>564</v>
      </c>
      <c r="L161" s="1086"/>
      <c r="M161" s="1074"/>
    </row>
    <row r="162" spans="2:16">
      <c r="B162" s="1072"/>
      <c r="C162" s="1072"/>
      <c r="D162" s="1072"/>
      <c r="E162" s="1072" t="s">
        <v>422</v>
      </c>
      <c r="F162" s="1116" t="s">
        <v>310</v>
      </c>
      <c r="G162" s="1116" t="s">
        <v>250</v>
      </c>
      <c r="H162" s="1116" t="s">
        <v>422</v>
      </c>
      <c r="I162" s="1116" t="s">
        <v>310</v>
      </c>
      <c r="J162" s="1072" t="s">
        <v>250</v>
      </c>
      <c r="K162" s="1072" t="s">
        <v>422</v>
      </c>
      <c r="L162" s="1116" t="s">
        <v>310</v>
      </c>
      <c r="M162" s="1072" t="s">
        <v>250</v>
      </c>
    </row>
    <row r="163" spans="2:16">
      <c r="B163" s="1072"/>
      <c r="C163" s="1072"/>
      <c r="D163" s="1072"/>
      <c r="E163" s="1072"/>
      <c r="F163" s="1116"/>
      <c r="G163" s="1116"/>
      <c r="H163" s="1116"/>
      <c r="I163" s="1116"/>
      <c r="J163" s="1072"/>
      <c r="K163" s="1072"/>
      <c r="L163" s="1116"/>
      <c r="M163" s="1072"/>
    </row>
    <row r="164" spans="2:16" ht="51.75" thickBot="1">
      <c r="B164" s="669" t="s">
        <v>222</v>
      </c>
      <c r="C164" s="670" t="s">
        <v>690</v>
      </c>
      <c r="D164" s="671" t="s">
        <v>26</v>
      </c>
      <c r="E164" s="671" t="s">
        <v>26</v>
      </c>
      <c r="F164" s="672" t="s">
        <v>26</v>
      </c>
      <c r="G164" s="673">
        <f>G165+G173</f>
        <v>44468.99</v>
      </c>
      <c r="H164" s="671" t="s">
        <v>26</v>
      </c>
      <c r="I164" s="672" t="s">
        <v>26</v>
      </c>
      <c r="J164" s="673">
        <v>477131.95</v>
      </c>
      <c r="K164" s="671" t="s">
        <v>26</v>
      </c>
      <c r="L164" s="672" t="s">
        <v>26</v>
      </c>
      <c r="M164" s="673">
        <v>341416.55</v>
      </c>
      <c r="O164" s="29">
        <v>345</v>
      </c>
      <c r="P164" s="29">
        <v>23000</v>
      </c>
    </row>
    <row r="165" spans="2:16" s="374" customFormat="1" ht="26.25" thickBot="1">
      <c r="B165" s="653" t="s">
        <v>180</v>
      </c>
      <c r="C165" s="654" t="s">
        <v>680</v>
      </c>
      <c r="D165" s="655" t="s">
        <v>26</v>
      </c>
      <c r="E165" s="655" t="s">
        <v>26</v>
      </c>
      <c r="F165" s="656" t="s">
        <v>26</v>
      </c>
      <c r="G165" s="657">
        <f>SUM(G166:G172)</f>
        <v>44069.99</v>
      </c>
      <c r="H165" s="658"/>
      <c r="I165" s="659"/>
      <c r="J165" s="660"/>
      <c r="K165" s="655"/>
      <c r="L165" s="659"/>
      <c r="M165" s="661"/>
    </row>
    <row r="166" spans="2:16" s="634" customFormat="1" ht="38.25">
      <c r="B166" s="646" t="s">
        <v>774</v>
      </c>
      <c r="C166" s="646" t="s">
        <v>681</v>
      </c>
      <c r="D166" s="647" t="s">
        <v>686</v>
      </c>
      <c r="E166" s="647">
        <v>3</v>
      </c>
      <c r="F166" s="648">
        <v>298</v>
      </c>
      <c r="G166" s="649">
        <v>893.99</v>
      </c>
      <c r="H166" s="650"/>
      <c r="I166" s="651"/>
      <c r="J166" s="652"/>
      <c r="K166" s="647"/>
      <c r="L166" s="651"/>
      <c r="M166" s="652"/>
    </row>
    <row r="167" spans="2:16" s="634" customFormat="1" ht="25.5">
      <c r="B167" s="621" t="s">
        <v>775</v>
      </c>
      <c r="C167" s="621" t="s">
        <v>862</v>
      </c>
      <c r="D167" s="639" t="s">
        <v>686</v>
      </c>
      <c r="E167" s="639">
        <v>6</v>
      </c>
      <c r="F167" s="640">
        <v>4690</v>
      </c>
      <c r="G167" s="641">
        <f t="shared" ref="G167:G174" si="12">E167*F167</f>
        <v>28140</v>
      </c>
      <c r="H167" s="642"/>
      <c r="I167" s="643"/>
      <c r="J167" s="644"/>
      <c r="K167" s="639"/>
      <c r="L167" s="643"/>
      <c r="M167" s="644"/>
    </row>
    <row r="168" spans="2:16" s="634" customFormat="1" ht="25.5">
      <c r="B168" s="621" t="s">
        <v>776</v>
      </c>
      <c r="C168" s="621" t="s">
        <v>682</v>
      </c>
      <c r="D168" s="639" t="s">
        <v>686</v>
      </c>
      <c r="E168" s="639">
        <v>1</v>
      </c>
      <c r="F168" s="640">
        <v>4800</v>
      </c>
      <c r="G168" s="641">
        <f t="shared" si="12"/>
        <v>4800</v>
      </c>
      <c r="H168" s="645"/>
      <c r="I168" s="642"/>
      <c r="J168" s="644"/>
      <c r="K168" s="639"/>
      <c r="L168" s="643"/>
      <c r="M168" s="644"/>
    </row>
    <row r="169" spans="2:16" s="634" customFormat="1" ht="25.5">
      <c r="B169" s="621" t="s">
        <v>777</v>
      </c>
      <c r="C169" s="621" t="s">
        <v>683</v>
      </c>
      <c r="D169" s="639" t="s">
        <v>686</v>
      </c>
      <c r="E169" s="639">
        <v>1</v>
      </c>
      <c r="F169" s="640">
        <v>4900</v>
      </c>
      <c r="G169" s="641">
        <f t="shared" si="12"/>
        <v>4900</v>
      </c>
      <c r="H169" s="642"/>
      <c r="I169" s="643"/>
      <c r="J169" s="644"/>
      <c r="K169" s="639"/>
      <c r="L169" s="643"/>
      <c r="M169" s="644"/>
    </row>
    <row r="170" spans="2:16" s="634" customFormat="1" ht="25.5">
      <c r="B170" s="621" t="s">
        <v>778</v>
      </c>
      <c r="C170" s="621" t="s">
        <v>684</v>
      </c>
      <c r="D170" s="639" t="s">
        <v>686</v>
      </c>
      <c r="E170" s="639">
        <v>1</v>
      </c>
      <c r="F170" s="640">
        <v>4500</v>
      </c>
      <c r="G170" s="641">
        <f t="shared" si="12"/>
        <v>4500</v>
      </c>
      <c r="H170" s="642"/>
      <c r="I170" s="643"/>
      <c r="J170" s="644"/>
      <c r="K170" s="639"/>
      <c r="L170" s="643"/>
      <c r="M170" s="644"/>
    </row>
    <row r="171" spans="2:16" s="634" customFormat="1">
      <c r="B171" s="621" t="s">
        <v>779</v>
      </c>
      <c r="C171" s="621" t="s">
        <v>685</v>
      </c>
      <c r="D171" s="639" t="s">
        <v>472</v>
      </c>
      <c r="E171" s="639">
        <v>1</v>
      </c>
      <c r="F171" s="640">
        <v>353</v>
      </c>
      <c r="G171" s="641">
        <f t="shared" si="12"/>
        <v>353</v>
      </c>
      <c r="H171" s="642"/>
      <c r="I171" s="643"/>
      <c r="J171" s="644"/>
      <c r="K171" s="639"/>
      <c r="L171" s="643"/>
      <c r="M171" s="644"/>
    </row>
    <row r="172" spans="2:16" s="634" customFormat="1" ht="15.75" thickBot="1">
      <c r="B172" s="662" t="s">
        <v>780</v>
      </c>
      <c r="C172" s="662" t="s">
        <v>685</v>
      </c>
      <c r="D172" s="663" t="s">
        <v>472</v>
      </c>
      <c r="E172" s="663">
        <v>1</v>
      </c>
      <c r="F172" s="664">
        <v>483</v>
      </c>
      <c r="G172" s="665">
        <f t="shared" si="12"/>
        <v>483</v>
      </c>
      <c r="H172" s="666"/>
      <c r="I172" s="667"/>
      <c r="J172" s="668"/>
      <c r="K172" s="663"/>
      <c r="L172" s="667"/>
      <c r="M172" s="668"/>
    </row>
    <row r="173" spans="2:16" s="120" customFormat="1" ht="39" thickBot="1">
      <c r="B173" s="653" t="s">
        <v>181</v>
      </c>
      <c r="C173" s="654" t="s">
        <v>687</v>
      </c>
      <c r="D173" s="655" t="s">
        <v>26</v>
      </c>
      <c r="E173" s="655" t="s">
        <v>26</v>
      </c>
      <c r="F173" s="656" t="s">
        <v>26</v>
      </c>
      <c r="G173" s="657">
        <f>G174</f>
        <v>399</v>
      </c>
      <c r="H173" s="658"/>
      <c r="I173" s="659"/>
      <c r="J173" s="660"/>
      <c r="K173" s="655"/>
      <c r="L173" s="659"/>
      <c r="M173" s="661"/>
    </row>
    <row r="174" spans="2:16" s="120" customFormat="1">
      <c r="B174" s="646" t="s">
        <v>781</v>
      </c>
      <c r="C174" s="646" t="s">
        <v>688</v>
      </c>
      <c r="D174" s="647" t="s">
        <v>689</v>
      </c>
      <c r="E174" s="647">
        <v>2</v>
      </c>
      <c r="F174" s="648">
        <v>199.5</v>
      </c>
      <c r="G174" s="649">
        <f t="shared" si="12"/>
        <v>399</v>
      </c>
      <c r="H174" s="650"/>
      <c r="I174" s="651"/>
      <c r="J174" s="652"/>
      <c r="K174" s="647"/>
      <c r="L174" s="651"/>
      <c r="M174" s="652"/>
    </row>
    <row r="175" spans="2:16" s="120" customFormat="1" ht="51.75" thickBot="1">
      <c r="B175" s="669" t="s">
        <v>224</v>
      </c>
      <c r="C175" s="670" t="s">
        <v>691</v>
      </c>
      <c r="D175" s="671" t="s">
        <v>26</v>
      </c>
      <c r="E175" s="671" t="s">
        <v>26</v>
      </c>
      <c r="F175" s="672" t="s">
        <v>26</v>
      </c>
      <c r="G175" s="673">
        <f>G176+G225</f>
        <v>143914.21</v>
      </c>
      <c r="H175" s="671"/>
      <c r="I175" s="672"/>
      <c r="J175" s="673"/>
      <c r="K175" s="671"/>
      <c r="L175" s="672"/>
      <c r="M175" s="673"/>
    </row>
    <row r="176" spans="2:16" s="374" customFormat="1" ht="39" thickBot="1">
      <c r="B176" s="653" t="s">
        <v>408</v>
      </c>
      <c r="C176" s="654" t="s">
        <v>834</v>
      </c>
      <c r="D176" s="655" t="s">
        <v>26</v>
      </c>
      <c r="E176" s="655" t="s">
        <v>26</v>
      </c>
      <c r="F176" s="656" t="s">
        <v>26</v>
      </c>
      <c r="G176" s="657">
        <f>SUM(G177:G224)</f>
        <v>94073.99</v>
      </c>
      <c r="H176" s="658"/>
      <c r="I176" s="659"/>
      <c r="J176" s="660"/>
      <c r="K176" s="655"/>
      <c r="L176" s="659"/>
      <c r="M176" s="661"/>
    </row>
    <row r="177" spans="2:13" s="120" customFormat="1">
      <c r="B177" s="646" t="s">
        <v>782</v>
      </c>
      <c r="C177" s="646" t="s">
        <v>692</v>
      </c>
      <c r="D177" s="647" t="s">
        <v>472</v>
      </c>
      <c r="E177" s="647">
        <v>14</v>
      </c>
      <c r="F177" s="648">
        <v>585</v>
      </c>
      <c r="G177" s="649">
        <f>E177*F177</f>
        <v>8190</v>
      </c>
      <c r="H177" s="674"/>
      <c r="I177" s="675"/>
      <c r="J177" s="676"/>
      <c r="K177" s="677"/>
      <c r="L177" s="675"/>
      <c r="M177" s="676"/>
    </row>
    <row r="178" spans="2:13" s="120" customFormat="1">
      <c r="B178" s="621" t="s">
        <v>783</v>
      </c>
      <c r="C178" s="621" t="s">
        <v>693</v>
      </c>
      <c r="D178" s="639" t="s">
        <v>472</v>
      </c>
      <c r="E178" s="639">
        <v>6</v>
      </c>
      <c r="F178" s="640">
        <v>835</v>
      </c>
      <c r="G178" s="641">
        <f t="shared" ref="G178:G240" si="13">E178*F178</f>
        <v>5010</v>
      </c>
      <c r="H178" s="636"/>
      <c r="I178" s="637"/>
      <c r="J178" s="638"/>
      <c r="K178" s="635"/>
      <c r="L178" s="637"/>
      <c r="M178" s="638"/>
    </row>
    <row r="179" spans="2:13" s="120" customFormat="1" ht="25.5">
      <c r="B179" s="621" t="s">
        <v>784</v>
      </c>
      <c r="C179" s="621" t="s">
        <v>694</v>
      </c>
      <c r="D179" s="639" t="s">
        <v>472</v>
      </c>
      <c r="E179" s="639">
        <v>14</v>
      </c>
      <c r="F179" s="640">
        <v>900</v>
      </c>
      <c r="G179" s="641">
        <f t="shared" si="13"/>
        <v>12600</v>
      </c>
      <c r="H179" s="636"/>
      <c r="I179" s="637"/>
      <c r="J179" s="638"/>
      <c r="K179" s="635"/>
      <c r="L179" s="637"/>
      <c r="M179" s="638"/>
    </row>
    <row r="180" spans="2:13" s="120" customFormat="1">
      <c r="B180" s="621" t="s">
        <v>785</v>
      </c>
      <c r="C180" s="621" t="s">
        <v>695</v>
      </c>
      <c r="D180" s="639" t="s">
        <v>472</v>
      </c>
      <c r="E180" s="639">
        <v>10</v>
      </c>
      <c r="F180" s="640">
        <v>860</v>
      </c>
      <c r="G180" s="641">
        <f t="shared" si="13"/>
        <v>8600</v>
      </c>
      <c r="H180" s="636"/>
      <c r="I180" s="637"/>
      <c r="J180" s="638"/>
      <c r="K180" s="635"/>
      <c r="L180" s="637"/>
      <c r="M180" s="638"/>
    </row>
    <row r="181" spans="2:13" s="120" customFormat="1">
      <c r="B181" s="621" t="s">
        <v>786</v>
      </c>
      <c r="C181" s="621" t="s">
        <v>696</v>
      </c>
      <c r="D181" s="639" t="s">
        <v>472</v>
      </c>
      <c r="E181" s="639">
        <v>15</v>
      </c>
      <c r="F181" s="640">
        <v>130</v>
      </c>
      <c r="G181" s="641">
        <f t="shared" si="13"/>
        <v>1950</v>
      </c>
      <c r="H181" s="636"/>
      <c r="I181" s="637"/>
      <c r="J181" s="638"/>
      <c r="K181" s="635"/>
      <c r="L181" s="637"/>
      <c r="M181" s="638"/>
    </row>
    <row r="182" spans="2:13" s="120" customFormat="1">
      <c r="B182" s="621" t="s">
        <v>787</v>
      </c>
      <c r="C182" s="621" t="s">
        <v>697</v>
      </c>
      <c r="D182" s="639" t="s">
        <v>472</v>
      </c>
      <c r="E182" s="639">
        <v>300</v>
      </c>
      <c r="F182" s="640">
        <v>1.2</v>
      </c>
      <c r="G182" s="641">
        <f t="shared" si="13"/>
        <v>360</v>
      </c>
      <c r="H182" s="636"/>
      <c r="I182" s="637"/>
      <c r="J182" s="638"/>
      <c r="K182" s="635"/>
      <c r="L182" s="637"/>
      <c r="M182" s="638"/>
    </row>
    <row r="183" spans="2:13" s="120" customFormat="1">
      <c r="B183" s="621" t="s">
        <v>788</v>
      </c>
      <c r="C183" s="621" t="s">
        <v>698</v>
      </c>
      <c r="D183" s="639" t="s">
        <v>740</v>
      </c>
      <c r="E183" s="639">
        <v>1</v>
      </c>
      <c r="F183" s="640">
        <v>50</v>
      </c>
      <c r="G183" s="641">
        <f t="shared" si="13"/>
        <v>50</v>
      </c>
      <c r="H183" s="636"/>
      <c r="I183" s="637"/>
      <c r="J183" s="638"/>
      <c r="K183" s="635"/>
      <c r="L183" s="637"/>
      <c r="M183" s="638"/>
    </row>
    <row r="184" spans="2:13" s="120" customFormat="1">
      <c r="B184" s="621" t="s">
        <v>789</v>
      </c>
      <c r="C184" s="621" t="s">
        <v>699</v>
      </c>
      <c r="D184" s="639" t="s">
        <v>741</v>
      </c>
      <c r="E184" s="639">
        <v>50</v>
      </c>
      <c r="F184" s="640">
        <v>3.5</v>
      </c>
      <c r="G184" s="641">
        <f t="shared" si="13"/>
        <v>175</v>
      </c>
      <c r="H184" s="636"/>
      <c r="I184" s="637"/>
      <c r="J184" s="638"/>
      <c r="K184" s="635"/>
      <c r="L184" s="637"/>
      <c r="M184" s="638"/>
    </row>
    <row r="185" spans="2:13" s="120" customFormat="1">
      <c r="B185" s="621" t="s">
        <v>790</v>
      </c>
      <c r="C185" s="621" t="s">
        <v>700</v>
      </c>
      <c r="D185" s="639" t="s">
        <v>472</v>
      </c>
      <c r="E185" s="639">
        <v>500</v>
      </c>
      <c r="F185" s="640">
        <v>0.8</v>
      </c>
      <c r="G185" s="641">
        <f t="shared" si="13"/>
        <v>400</v>
      </c>
      <c r="H185" s="636"/>
      <c r="I185" s="637"/>
      <c r="J185" s="638"/>
      <c r="K185" s="635"/>
      <c r="L185" s="637"/>
      <c r="M185" s="638"/>
    </row>
    <row r="186" spans="2:13" s="120" customFormat="1">
      <c r="B186" s="621" t="s">
        <v>791</v>
      </c>
      <c r="C186" s="621" t="s">
        <v>701</v>
      </c>
      <c r="D186" s="639" t="s">
        <v>742</v>
      </c>
      <c r="E186" s="639">
        <v>1.1399999999999999</v>
      </c>
      <c r="F186" s="640">
        <v>300</v>
      </c>
      <c r="G186" s="641">
        <f t="shared" si="13"/>
        <v>342</v>
      </c>
      <c r="H186" s="636"/>
      <c r="I186" s="637"/>
      <c r="J186" s="638"/>
      <c r="K186" s="635"/>
      <c r="L186" s="637"/>
      <c r="M186" s="638"/>
    </row>
    <row r="187" spans="2:13" s="120" customFormat="1" ht="25.5">
      <c r="B187" s="621" t="s">
        <v>792</v>
      </c>
      <c r="C187" s="621" t="s">
        <v>702</v>
      </c>
      <c r="D187" s="639" t="s">
        <v>742</v>
      </c>
      <c r="E187" s="639">
        <v>1</v>
      </c>
      <c r="F187" s="640">
        <v>330</v>
      </c>
      <c r="G187" s="641">
        <f t="shared" si="13"/>
        <v>330</v>
      </c>
      <c r="H187" s="636"/>
      <c r="I187" s="637"/>
      <c r="J187" s="638"/>
      <c r="K187" s="635"/>
      <c r="L187" s="637"/>
      <c r="M187" s="638"/>
    </row>
    <row r="188" spans="2:13" s="120" customFormat="1" ht="25.5">
      <c r="B188" s="621" t="s">
        <v>793</v>
      </c>
      <c r="C188" s="621" t="s">
        <v>703</v>
      </c>
      <c r="D188" s="639" t="s">
        <v>472</v>
      </c>
      <c r="E188" s="639">
        <v>22</v>
      </c>
      <c r="F188" s="640">
        <v>120</v>
      </c>
      <c r="G188" s="641">
        <f t="shared" si="13"/>
        <v>2640</v>
      </c>
      <c r="H188" s="636"/>
      <c r="I188" s="637"/>
      <c r="J188" s="638"/>
      <c r="K188" s="635"/>
      <c r="L188" s="637"/>
      <c r="M188" s="638"/>
    </row>
    <row r="189" spans="2:13" s="120" customFormat="1" ht="25.5">
      <c r="B189" s="621" t="s">
        <v>794</v>
      </c>
      <c r="C189" s="621" t="s">
        <v>704</v>
      </c>
      <c r="D189" s="639" t="s">
        <v>472</v>
      </c>
      <c r="E189" s="639">
        <v>6</v>
      </c>
      <c r="F189" s="640">
        <v>220</v>
      </c>
      <c r="G189" s="641">
        <f t="shared" si="13"/>
        <v>1320</v>
      </c>
      <c r="H189" s="636"/>
      <c r="I189" s="637"/>
      <c r="J189" s="638"/>
      <c r="K189" s="635"/>
      <c r="L189" s="637"/>
      <c r="M189" s="638"/>
    </row>
    <row r="190" spans="2:13" s="120" customFormat="1" ht="25.5">
      <c r="B190" s="621" t="s">
        <v>795</v>
      </c>
      <c r="C190" s="621" t="s">
        <v>705</v>
      </c>
      <c r="D190" s="639" t="s">
        <v>472</v>
      </c>
      <c r="E190" s="639">
        <v>12</v>
      </c>
      <c r="F190" s="640">
        <v>42</v>
      </c>
      <c r="G190" s="641">
        <f t="shared" si="13"/>
        <v>504</v>
      </c>
      <c r="H190" s="636"/>
      <c r="I190" s="637"/>
      <c r="J190" s="638"/>
      <c r="K190" s="635"/>
      <c r="L190" s="637"/>
      <c r="M190" s="638"/>
    </row>
    <row r="191" spans="2:13" s="120" customFormat="1">
      <c r="B191" s="621" t="s">
        <v>796</v>
      </c>
      <c r="C191" s="621" t="s">
        <v>706</v>
      </c>
      <c r="D191" s="639" t="s">
        <v>472</v>
      </c>
      <c r="E191" s="639">
        <v>4</v>
      </c>
      <c r="F191" s="640">
        <v>12.99</v>
      </c>
      <c r="G191" s="641">
        <f t="shared" si="13"/>
        <v>51.96</v>
      </c>
      <c r="H191" s="636"/>
      <c r="I191" s="637"/>
      <c r="J191" s="638"/>
      <c r="K191" s="635"/>
      <c r="L191" s="637"/>
      <c r="M191" s="638"/>
    </row>
    <row r="192" spans="2:13" s="120" customFormat="1" ht="25.5">
      <c r="B192" s="621" t="s">
        <v>797</v>
      </c>
      <c r="C192" s="621" t="s">
        <v>707</v>
      </c>
      <c r="D192" s="639" t="s">
        <v>472</v>
      </c>
      <c r="E192" s="639">
        <v>10</v>
      </c>
      <c r="F192" s="640">
        <v>124</v>
      </c>
      <c r="G192" s="641">
        <f t="shared" si="13"/>
        <v>1240</v>
      </c>
      <c r="H192" s="636"/>
      <c r="I192" s="637"/>
      <c r="J192" s="638"/>
      <c r="K192" s="635"/>
      <c r="L192" s="637"/>
      <c r="M192" s="638"/>
    </row>
    <row r="193" spans="2:13" s="120" customFormat="1">
      <c r="B193" s="621" t="s">
        <v>798</v>
      </c>
      <c r="C193" s="621" t="s">
        <v>708</v>
      </c>
      <c r="D193" s="639" t="s">
        <v>472</v>
      </c>
      <c r="E193" s="639">
        <v>1</v>
      </c>
      <c r="F193" s="640">
        <v>1060</v>
      </c>
      <c r="G193" s="641">
        <f t="shared" si="13"/>
        <v>1060</v>
      </c>
      <c r="H193" s="636"/>
      <c r="I193" s="637"/>
      <c r="J193" s="638"/>
      <c r="K193" s="635"/>
      <c r="L193" s="637"/>
      <c r="M193" s="638"/>
    </row>
    <row r="194" spans="2:13" s="120" customFormat="1" ht="25.5">
      <c r="B194" s="621" t="s">
        <v>799</v>
      </c>
      <c r="C194" s="621" t="s">
        <v>709</v>
      </c>
      <c r="D194" s="639" t="s">
        <v>472</v>
      </c>
      <c r="E194" s="639">
        <v>3</v>
      </c>
      <c r="F194" s="640">
        <v>89</v>
      </c>
      <c r="G194" s="641">
        <f t="shared" si="13"/>
        <v>267</v>
      </c>
      <c r="H194" s="636"/>
      <c r="I194" s="637"/>
      <c r="J194" s="638"/>
      <c r="K194" s="635"/>
      <c r="L194" s="637"/>
      <c r="M194" s="638"/>
    </row>
    <row r="195" spans="2:13" s="120" customFormat="1">
      <c r="B195" s="621" t="s">
        <v>800</v>
      </c>
      <c r="C195" s="621" t="s">
        <v>710</v>
      </c>
      <c r="D195" s="639" t="s">
        <v>472</v>
      </c>
      <c r="E195" s="639">
        <v>10</v>
      </c>
      <c r="F195" s="640">
        <v>189</v>
      </c>
      <c r="G195" s="641">
        <f t="shared" si="13"/>
        <v>1890</v>
      </c>
      <c r="H195" s="636"/>
      <c r="I195" s="637"/>
      <c r="J195" s="638"/>
      <c r="K195" s="635"/>
      <c r="L195" s="637"/>
      <c r="M195" s="638"/>
    </row>
    <row r="196" spans="2:13" s="120" customFormat="1">
      <c r="B196" s="621" t="s">
        <v>801</v>
      </c>
      <c r="C196" s="621" t="s">
        <v>711</v>
      </c>
      <c r="D196" s="639" t="s">
        <v>472</v>
      </c>
      <c r="E196" s="639">
        <v>1</v>
      </c>
      <c r="F196" s="640">
        <v>509</v>
      </c>
      <c r="G196" s="641">
        <f t="shared" si="13"/>
        <v>509</v>
      </c>
      <c r="H196" s="636"/>
      <c r="I196" s="637"/>
      <c r="J196" s="638"/>
      <c r="K196" s="635"/>
      <c r="L196" s="637"/>
      <c r="M196" s="638"/>
    </row>
    <row r="197" spans="2:13" s="120" customFormat="1" ht="25.5">
      <c r="B197" s="621" t="s">
        <v>802</v>
      </c>
      <c r="C197" s="621" t="s">
        <v>712</v>
      </c>
      <c r="D197" s="639" t="s">
        <v>472</v>
      </c>
      <c r="E197" s="639">
        <v>4</v>
      </c>
      <c r="F197" s="640">
        <v>695</v>
      </c>
      <c r="G197" s="641">
        <f t="shared" si="13"/>
        <v>2780</v>
      </c>
      <c r="H197" s="636"/>
      <c r="I197" s="637"/>
      <c r="J197" s="638"/>
      <c r="K197" s="635"/>
      <c r="L197" s="637"/>
      <c r="M197" s="638"/>
    </row>
    <row r="198" spans="2:13" s="120" customFormat="1">
      <c r="B198" s="621" t="s">
        <v>803</v>
      </c>
      <c r="C198" s="621" t="s">
        <v>713</v>
      </c>
      <c r="D198" s="639" t="s">
        <v>472</v>
      </c>
      <c r="E198" s="639">
        <v>3</v>
      </c>
      <c r="F198" s="640">
        <v>109</v>
      </c>
      <c r="G198" s="641">
        <f t="shared" si="13"/>
        <v>327</v>
      </c>
      <c r="H198" s="636"/>
      <c r="I198" s="637"/>
      <c r="J198" s="638"/>
      <c r="K198" s="635"/>
      <c r="L198" s="637"/>
      <c r="M198" s="638"/>
    </row>
    <row r="199" spans="2:13" s="120" customFormat="1" ht="25.5">
      <c r="B199" s="621" t="s">
        <v>804</v>
      </c>
      <c r="C199" s="621" t="s">
        <v>714</v>
      </c>
      <c r="D199" s="639" t="s">
        <v>472</v>
      </c>
      <c r="E199" s="639">
        <v>1</v>
      </c>
      <c r="F199" s="640">
        <v>579</v>
      </c>
      <c r="G199" s="641">
        <f t="shared" si="13"/>
        <v>579</v>
      </c>
      <c r="H199" s="636"/>
      <c r="I199" s="637"/>
      <c r="J199" s="638"/>
      <c r="K199" s="635"/>
      <c r="L199" s="637"/>
      <c r="M199" s="638"/>
    </row>
    <row r="200" spans="2:13" s="120" customFormat="1" ht="25.5">
      <c r="B200" s="621" t="s">
        <v>805</v>
      </c>
      <c r="C200" s="621" t="s">
        <v>715</v>
      </c>
      <c r="D200" s="639" t="s">
        <v>472</v>
      </c>
      <c r="E200" s="639">
        <v>3</v>
      </c>
      <c r="F200" s="640">
        <v>119</v>
      </c>
      <c r="G200" s="641">
        <f t="shared" si="13"/>
        <v>357</v>
      </c>
      <c r="H200" s="636"/>
      <c r="I200" s="637"/>
      <c r="J200" s="638"/>
      <c r="K200" s="635"/>
      <c r="L200" s="637"/>
      <c r="M200" s="638"/>
    </row>
    <row r="201" spans="2:13" s="120" customFormat="1">
      <c r="B201" s="621" t="s">
        <v>806</v>
      </c>
      <c r="C201" s="621" t="s">
        <v>716</v>
      </c>
      <c r="D201" s="639" t="s">
        <v>472</v>
      </c>
      <c r="E201" s="639">
        <v>1</v>
      </c>
      <c r="F201" s="640">
        <v>305</v>
      </c>
      <c r="G201" s="641">
        <f t="shared" si="13"/>
        <v>305</v>
      </c>
      <c r="H201" s="636"/>
      <c r="I201" s="637"/>
      <c r="J201" s="638"/>
      <c r="K201" s="635"/>
      <c r="L201" s="637"/>
      <c r="M201" s="638"/>
    </row>
    <row r="202" spans="2:13" s="120" customFormat="1">
      <c r="B202" s="621" t="s">
        <v>807</v>
      </c>
      <c r="C202" s="621" t="s">
        <v>717</v>
      </c>
      <c r="D202" s="639" t="s">
        <v>472</v>
      </c>
      <c r="E202" s="639">
        <v>1</v>
      </c>
      <c r="F202" s="640">
        <v>305</v>
      </c>
      <c r="G202" s="641">
        <f t="shared" si="13"/>
        <v>305</v>
      </c>
      <c r="H202" s="636"/>
      <c r="I202" s="637"/>
      <c r="J202" s="638"/>
      <c r="K202" s="635"/>
      <c r="L202" s="637"/>
      <c r="M202" s="638"/>
    </row>
    <row r="203" spans="2:13" s="120" customFormat="1">
      <c r="B203" s="621" t="s">
        <v>808</v>
      </c>
      <c r="C203" s="621" t="s">
        <v>718</v>
      </c>
      <c r="D203" s="639" t="s">
        <v>472</v>
      </c>
      <c r="E203" s="639">
        <v>1</v>
      </c>
      <c r="F203" s="640">
        <v>305</v>
      </c>
      <c r="G203" s="641">
        <f t="shared" si="13"/>
        <v>305</v>
      </c>
      <c r="H203" s="636"/>
      <c r="I203" s="637"/>
      <c r="J203" s="638"/>
      <c r="K203" s="635"/>
      <c r="L203" s="637"/>
      <c r="M203" s="638"/>
    </row>
    <row r="204" spans="2:13" s="120" customFormat="1" ht="25.5">
      <c r="B204" s="621" t="s">
        <v>809</v>
      </c>
      <c r="C204" s="621" t="s">
        <v>719</v>
      </c>
      <c r="D204" s="639" t="s">
        <v>472</v>
      </c>
      <c r="E204" s="639">
        <v>1</v>
      </c>
      <c r="F204" s="640">
        <v>305</v>
      </c>
      <c r="G204" s="641">
        <f t="shared" si="13"/>
        <v>305</v>
      </c>
      <c r="H204" s="636"/>
      <c r="I204" s="637"/>
      <c r="J204" s="638"/>
      <c r="K204" s="635"/>
      <c r="L204" s="637"/>
      <c r="M204" s="638"/>
    </row>
    <row r="205" spans="2:13" s="120" customFormat="1">
      <c r="B205" s="621" t="s">
        <v>810</v>
      </c>
      <c r="C205" s="621" t="s">
        <v>720</v>
      </c>
      <c r="D205" s="639" t="s">
        <v>472</v>
      </c>
      <c r="E205" s="639">
        <v>2</v>
      </c>
      <c r="F205" s="640">
        <v>49</v>
      </c>
      <c r="G205" s="641">
        <f t="shared" si="13"/>
        <v>98</v>
      </c>
      <c r="H205" s="636"/>
      <c r="I205" s="637"/>
      <c r="J205" s="638"/>
      <c r="K205" s="635"/>
      <c r="L205" s="637"/>
      <c r="M205" s="638"/>
    </row>
    <row r="206" spans="2:13" s="120" customFormat="1">
      <c r="B206" s="621" t="s">
        <v>811</v>
      </c>
      <c r="C206" s="621" t="s">
        <v>721</v>
      </c>
      <c r="D206" s="639" t="s">
        <v>743</v>
      </c>
      <c r="E206" s="639">
        <v>27</v>
      </c>
      <c r="F206" s="640">
        <v>310</v>
      </c>
      <c r="G206" s="641">
        <f t="shared" si="13"/>
        <v>8370</v>
      </c>
      <c r="H206" s="636"/>
      <c r="I206" s="637"/>
      <c r="J206" s="638"/>
      <c r="K206" s="635"/>
      <c r="L206" s="637"/>
      <c r="M206" s="638"/>
    </row>
    <row r="207" spans="2:13" s="120" customFormat="1">
      <c r="B207" s="621" t="s">
        <v>812</v>
      </c>
      <c r="C207" s="621" t="s">
        <v>722</v>
      </c>
      <c r="D207" s="639" t="s">
        <v>744</v>
      </c>
      <c r="E207" s="639">
        <v>25</v>
      </c>
      <c r="F207" s="640">
        <v>30</v>
      </c>
      <c r="G207" s="641">
        <f t="shared" si="13"/>
        <v>750</v>
      </c>
      <c r="H207" s="636"/>
      <c r="I207" s="637"/>
      <c r="J207" s="638"/>
      <c r="K207" s="635"/>
      <c r="L207" s="637"/>
      <c r="M207" s="638"/>
    </row>
    <row r="208" spans="2:13" s="120" customFormat="1">
      <c r="B208" s="621" t="s">
        <v>813</v>
      </c>
      <c r="C208" s="621" t="s">
        <v>723</v>
      </c>
      <c r="D208" s="639" t="s">
        <v>743</v>
      </c>
      <c r="E208" s="639">
        <v>11</v>
      </c>
      <c r="F208" s="640">
        <v>900</v>
      </c>
      <c r="G208" s="641">
        <f t="shared" si="13"/>
        <v>9900</v>
      </c>
      <c r="H208" s="636"/>
      <c r="I208" s="637"/>
      <c r="J208" s="638"/>
      <c r="K208" s="635"/>
      <c r="L208" s="637"/>
      <c r="M208" s="638"/>
    </row>
    <row r="209" spans="2:13" s="120" customFormat="1">
      <c r="B209" s="621" t="s">
        <v>814</v>
      </c>
      <c r="C209" s="621" t="s">
        <v>724</v>
      </c>
      <c r="D209" s="639" t="s">
        <v>743</v>
      </c>
      <c r="E209" s="639">
        <v>2</v>
      </c>
      <c r="F209" s="640">
        <v>300</v>
      </c>
      <c r="G209" s="641">
        <f t="shared" si="13"/>
        <v>600</v>
      </c>
      <c r="H209" s="636"/>
      <c r="I209" s="637"/>
      <c r="J209" s="638"/>
      <c r="K209" s="635"/>
      <c r="L209" s="637"/>
      <c r="M209" s="638"/>
    </row>
    <row r="210" spans="2:13" s="120" customFormat="1">
      <c r="B210" s="621" t="s">
        <v>815</v>
      </c>
      <c r="C210" s="621" t="s">
        <v>725</v>
      </c>
      <c r="D210" s="639" t="s">
        <v>472</v>
      </c>
      <c r="E210" s="639">
        <v>25</v>
      </c>
      <c r="F210" s="640">
        <v>20</v>
      </c>
      <c r="G210" s="641">
        <f t="shared" si="13"/>
        <v>500</v>
      </c>
      <c r="H210" s="636"/>
      <c r="I210" s="637"/>
      <c r="J210" s="638"/>
      <c r="K210" s="635"/>
      <c r="L210" s="637"/>
      <c r="M210" s="638"/>
    </row>
    <row r="211" spans="2:13" s="120" customFormat="1">
      <c r="B211" s="621" t="s">
        <v>816</v>
      </c>
      <c r="C211" s="621" t="s">
        <v>726</v>
      </c>
      <c r="D211" s="639" t="s">
        <v>745</v>
      </c>
      <c r="E211" s="639">
        <v>8</v>
      </c>
      <c r="F211" s="640">
        <v>45</v>
      </c>
      <c r="G211" s="641">
        <f t="shared" si="13"/>
        <v>360</v>
      </c>
      <c r="H211" s="636"/>
      <c r="I211" s="637"/>
      <c r="J211" s="638"/>
      <c r="K211" s="635"/>
      <c r="L211" s="637"/>
      <c r="M211" s="638"/>
    </row>
    <row r="212" spans="2:13" s="120" customFormat="1">
      <c r="B212" s="621" t="s">
        <v>817</v>
      </c>
      <c r="C212" s="621" t="s">
        <v>727</v>
      </c>
      <c r="D212" s="639" t="s">
        <v>743</v>
      </c>
      <c r="E212" s="639">
        <v>3</v>
      </c>
      <c r="F212" s="640">
        <v>25</v>
      </c>
      <c r="G212" s="641">
        <f t="shared" si="13"/>
        <v>75</v>
      </c>
      <c r="H212" s="636"/>
      <c r="I212" s="637"/>
      <c r="J212" s="638"/>
      <c r="K212" s="635"/>
      <c r="L212" s="637"/>
      <c r="M212" s="638"/>
    </row>
    <row r="213" spans="2:13" s="120" customFormat="1">
      <c r="B213" s="621" t="s">
        <v>818</v>
      </c>
      <c r="C213" s="621" t="s">
        <v>728</v>
      </c>
      <c r="D213" s="639" t="s">
        <v>743</v>
      </c>
      <c r="E213" s="639">
        <v>1</v>
      </c>
      <c r="F213" s="640">
        <v>350</v>
      </c>
      <c r="G213" s="641">
        <f t="shared" si="13"/>
        <v>350</v>
      </c>
      <c r="H213" s="636"/>
      <c r="I213" s="637"/>
      <c r="J213" s="638"/>
      <c r="K213" s="635"/>
      <c r="L213" s="637"/>
      <c r="M213" s="638"/>
    </row>
    <row r="214" spans="2:13" s="120" customFormat="1">
      <c r="B214" s="621" t="s">
        <v>819</v>
      </c>
      <c r="C214" s="621" t="s">
        <v>729</v>
      </c>
      <c r="D214" s="639" t="s">
        <v>472</v>
      </c>
      <c r="E214" s="639">
        <v>3</v>
      </c>
      <c r="F214" s="640">
        <v>25</v>
      </c>
      <c r="G214" s="641">
        <f t="shared" si="13"/>
        <v>75</v>
      </c>
      <c r="H214" s="636"/>
      <c r="I214" s="637"/>
      <c r="J214" s="638"/>
      <c r="K214" s="635"/>
      <c r="L214" s="637"/>
      <c r="M214" s="638"/>
    </row>
    <row r="215" spans="2:13" s="120" customFormat="1">
      <c r="B215" s="621" t="s">
        <v>820</v>
      </c>
      <c r="C215" s="621" t="s">
        <v>730</v>
      </c>
      <c r="D215" s="639" t="s">
        <v>472</v>
      </c>
      <c r="E215" s="639">
        <v>2</v>
      </c>
      <c r="F215" s="640">
        <v>50</v>
      </c>
      <c r="G215" s="641">
        <f t="shared" si="13"/>
        <v>100</v>
      </c>
      <c r="H215" s="636"/>
      <c r="I215" s="637"/>
      <c r="J215" s="638"/>
      <c r="K215" s="635"/>
      <c r="L215" s="637"/>
      <c r="M215" s="638"/>
    </row>
    <row r="216" spans="2:13" s="120" customFormat="1">
      <c r="B216" s="621" t="s">
        <v>821</v>
      </c>
      <c r="C216" s="621" t="s">
        <v>731</v>
      </c>
      <c r="D216" s="639" t="s">
        <v>743</v>
      </c>
      <c r="E216" s="639">
        <v>12</v>
      </c>
      <c r="F216" s="640">
        <v>270</v>
      </c>
      <c r="G216" s="641">
        <f t="shared" si="13"/>
        <v>3240</v>
      </c>
      <c r="H216" s="636"/>
      <c r="I216" s="637"/>
      <c r="J216" s="638"/>
      <c r="K216" s="635"/>
      <c r="L216" s="637"/>
      <c r="M216" s="638"/>
    </row>
    <row r="217" spans="2:13" s="120" customFormat="1">
      <c r="B217" s="621" t="s">
        <v>822</v>
      </c>
      <c r="C217" s="621" t="s">
        <v>732</v>
      </c>
      <c r="D217" s="639" t="s">
        <v>743</v>
      </c>
      <c r="E217" s="639">
        <v>1</v>
      </c>
      <c r="F217" s="640">
        <v>65.03</v>
      </c>
      <c r="G217" s="641">
        <f t="shared" si="13"/>
        <v>65.03</v>
      </c>
      <c r="H217" s="636"/>
      <c r="I217" s="637"/>
      <c r="J217" s="638"/>
      <c r="K217" s="635"/>
      <c r="L217" s="637"/>
      <c r="M217" s="638"/>
    </row>
    <row r="218" spans="2:13" s="120" customFormat="1">
      <c r="B218" s="621" t="s">
        <v>823</v>
      </c>
      <c r="C218" s="621" t="s">
        <v>733</v>
      </c>
      <c r="D218" s="639" t="s">
        <v>743</v>
      </c>
      <c r="E218" s="639">
        <v>9</v>
      </c>
      <c r="F218" s="640">
        <v>400</v>
      </c>
      <c r="G218" s="641">
        <f t="shared" si="13"/>
        <v>3600</v>
      </c>
      <c r="H218" s="636"/>
      <c r="I218" s="637"/>
      <c r="J218" s="638"/>
      <c r="K218" s="635"/>
      <c r="L218" s="637"/>
      <c r="M218" s="638"/>
    </row>
    <row r="219" spans="2:13" s="120" customFormat="1">
      <c r="B219" s="621" t="s">
        <v>824</v>
      </c>
      <c r="C219" s="621" t="s">
        <v>734</v>
      </c>
      <c r="D219" s="639" t="s">
        <v>472</v>
      </c>
      <c r="E219" s="639">
        <v>1</v>
      </c>
      <c r="F219" s="640">
        <v>700</v>
      </c>
      <c r="G219" s="641">
        <f t="shared" si="13"/>
        <v>700</v>
      </c>
      <c r="H219" s="636"/>
      <c r="I219" s="637"/>
      <c r="J219" s="638"/>
      <c r="K219" s="635"/>
      <c r="L219" s="637"/>
      <c r="M219" s="638"/>
    </row>
    <row r="220" spans="2:13" s="120" customFormat="1">
      <c r="B220" s="621" t="s">
        <v>825</v>
      </c>
      <c r="C220" s="621" t="s">
        <v>735</v>
      </c>
      <c r="D220" s="639" t="s">
        <v>459</v>
      </c>
      <c r="E220" s="639">
        <v>1</v>
      </c>
      <c r="F220" s="640">
        <v>3375</v>
      </c>
      <c r="G220" s="641">
        <f t="shared" si="13"/>
        <v>3375</v>
      </c>
      <c r="H220" s="636"/>
      <c r="I220" s="637"/>
      <c r="J220" s="638"/>
      <c r="K220" s="635"/>
      <c r="L220" s="637"/>
      <c r="M220" s="638"/>
    </row>
    <row r="221" spans="2:13" s="120" customFormat="1">
      <c r="B221" s="621" t="s">
        <v>826</v>
      </c>
      <c r="C221" s="621" t="s">
        <v>736</v>
      </c>
      <c r="D221" s="639" t="s">
        <v>472</v>
      </c>
      <c r="E221" s="639">
        <v>4</v>
      </c>
      <c r="F221" s="640">
        <v>690</v>
      </c>
      <c r="G221" s="641">
        <f t="shared" si="13"/>
        <v>2760</v>
      </c>
      <c r="H221" s="636"/>
      <c r="I221" s="637"/>
      <c r="J221" s="638"/>
      <c r="K221" s="635"/>
      <c r="L221" s="637"/>
      <c r="M221" s="638"/>
    </row>
    <row r="222" spans="2:13" s="120" customFormat="1">
      <c r="B222" s="621" t="s">
        <v>827</v>
      </c>
      <c r="C222" s="621" t="s">
        <v>737</v>
      </c>
      <c r="D222" s="639" t="s">
        <v>472</v>
      </c>
      <c r="E222" s="639">
        <v>12</v>
      </c>
      <c r="F222" s="640">
        <v>17</v>
      </c>
      <c r="G222" s="641">
        <f t="shared" si="13"/>
        <v>204</v>
      </c>
      <c r="H222" s="636"/>
      <c r="I222" s="637"/>
      <c r="J222" s="638"/>
      <c r="K222" s="635"/>
      <c r="L222" s="637"/>
      <c r="M222" s="638"/>
    </row>
    <row r="223" spans="2:13" s="120" customFormat="1" ht="25.5">
      <c r="B223" s="621" t="s">
        <v>828</v>
      </c>
      <c r="C223" s="621" t="s">
        <v>738</v>
      </c>
      <c r="D223" s="639" t="s">
        <v>472</v>
      </c>
      <c r="E223" s="639">
        <v>50</v>
      </c>
      <c r="F223" s="640">
        <v>84</v>
      </c>
      <c r="G223" s="641">
        <f t="shared" si="13"/>
        <v>4200</v>
      </c>
      <c r="H223" s="636"/>
      <c r="I223" s="637"/>
      <c r="J223" s="638"/>
      <c r="K223" s="635"/>
      <c r="L223" s="637"/>
      <c r="M223" s="638"/>
    </row>
    <row r="224" spans="2:13" s="120" customFormat="1" ht="26.25" thickBot="1">
      <c r="B224" s="662" t="s">
        <v>829</v>
      </c>
      <c r="C224" s="662" t="s">
        <v>739</v>
      </c>
      <c r="D224" s="663" t="s">
        <v>472</v>
      </c>
      <c r="E224" s="663">
        <v>50</v>
      </c>
      <c r="F224" s="664">
        <v>40</v>
      </c>
      <c r="G224" s="665">
        <f>E224*F224</f>
        <v>2000</v>
      </c>
      <c r="H224" s="695"/>
      <c r="I224" s="696"/>
      <c r="J224" s="697"/>
      <c r="K224" s="698"/>
      <c r="L224" s="696"/>
      <c r="M224" s="697"/>
    </row>
    <row r="225" spans="2:13" s="120" customFormat="1" ht="39" thickBot="1">
      <c r="B225" s="653" t="s">
        <v>830</v>
      </c>
      <c r="C225" s="654" t="s">
        <v>861</v>
      </c>
      <c r="D225" s="655" t="s">
        <v>26</v>
      </c>
      <c r="E225" s="655" t="s">
        <v>26</v>
      </c>
      <c r="F225" s="656" t="s">
        <v>26</v>
      </c>
      <c r="G225" s="657">
        <f>SUM(G226:H253)</f>
        <v>49840.22</v>
      </c>
      <c r="H225" s="690"/>
      <c r="I225" s="691"/>
      <c r="J225" s="692"/>
      <c r="K225" s="693"/>
      <c r="L225" s="691"/>
      <c r="M225" s="694"/>
    </row>
    <row r="226" spans="2:13" s="120" customFormat="1">
      <c r="B226" s="646" t="s">
        <v>831</v>
      </c>
      <c r="C226" s="646" t="s">
        <v>746</v>
      </c>
      <c r="D226" s="647" t="s">
        <v>472</v>
      </c>
      <c r="E226" s="647">
        <v>1</v>
      </c>
      <c r="F226" s="648">
        <v>380</v>
      </c>
      <c r="G226" s="649">
        <f t="shared" si="13"/>
        <v>380</v>
      </c>
      <c r="H226" s="687"/>
      <c r="I226" s="688"/>
      <c r="J226" s="689"/>
      <c r="K226" s="684"/>
      <c r="L226" s="688"/>
      <c r="M226" s="689"/>
    </row>
    <row r="227" spans="2:13" s="120" customFormat="1">
      <c r="B227" s="621" t="s">
        <v>832</v>
      </c>
      <c r="C227" s="621" t="s">
        <v>747</v>
      </c>
      <c r="D227" s="639" t="s">
        <v>472</v>
      </c>
      <c r="E227" s="639">
        <v>1</v>
      </c>
      <c r="F227" s="640">
        <v>2500</v>
      </c>
      <c r="G227" s="641">
        <f t="shared" si="13"/>
        <v>2500</v>
      </c>
      <c r="H227" s="497"/>
      <c r="I227" s="498"/>
      <c r="J227" s="499"/>
      <c r="K227" s="494"/>
      <c r="L227" s="498"/>
      <c r="M227" s="499"/>
    </row>
    <row r="228" spans="2:13" s="120" customFormat="1" ht="25.5">
      <c r="B228" s="621" t="s">
        <v>833</v>
      </c>
      <c r="C228" s="621" t="s">
        <v>748</v>
      </c>
      <c r="D228" s="639" t="s">
        <v>472</v>
      </c>
      <c r="E228" s="639">
        <v>2</v>
      </c>
      <c r="F228" s="640">
        <v>250</v>
      </c>
      <c r="G228" s="641">
        <f t="shared" si="13"/>
        <v>500</v>
      </c>
      <c r="H228" s="497"/>
      <c r="I228" s="498"/>
      <c r="J228" s="499"/>
      <c r="K228" s="494"/>
      <c r="L228" s="498"/>
      <c r="M228" s="499"/>
    </row>
    <row r="229" spans="2:13" s="120" customFormat="1" ht="25.5">
      <c r="B229" s="621" t="s">
        <v>835</v>
      </c>
      <c r="C229" s="621" t="s">
        <v>749</v>
      </c>
      <c r="D229" s="639" t="s">
        <v>472</v>
      </c>
      <c r="E229" s="639">
        <v>1</v>
      </c>
      <c r="F229" s="640">
        <v>250</v>
      </c>
      <c r="G229" s="641">
        <f t="shared" si="13"/>
        <v>250</v>
      </c>
      <c r="H229" s="497"/>
      <c r="I229" s="498"/>
      <c r="J229" s="499"/>
      <c r="K229" s="494"/>
      <c r="L229" s="498"/>
      <c r="M229" s="499"/>
    </row>
    <row r="230" spans="2:13" s="120" customFormat="1" ht="25.5">
      <c r="B230" s="621" t="s">
        <v>836</v>
      </c>
      <c r="C230" s="621" t="s">
        <v>750</v>
      </c>
      <c r="D230" s="639" t="s">
        <v>472</v>
      </c>
      <c r="E230" s="639">
        <v>2</v>
      </c>
      <c r="F230" s="640">
        <v>250</v>
      </c>
      <c r="G230" s="641">
        <f t="shared" si="13"/>
        <v>500</v>
      </c>
      <c r="H230" s="497"/>
      <c r="I230" s="498"/>
      <c r="J230" s="499"/>
      <c r="K230" s="494"/>
      <c r="L230" s="498"/>
      <c r="M230" s="499"/>
    </row>
    <row r="231" spans="2:13" s="120" customFormat="1" ht="25.5">
      <c r="B231" s="621" t="s">
        <v>837</v>
      </c>
      <c r="C231" s="621" t="s">
        <v>751</v>
      </c>
      <c r="D231" s="639" t="s">
        <v>472</v>
      </c>
      <c r="E231" s="639">
        <v>1</v>
      </c>
      <c r="F231" s="640">
        <v>250</v>
      </c>
      <c r="G231" s="641">
        <f t="shared" si="13"/>
        <v>250</v>
      </c>
      <c r="H231" s="497"/>
      <c r="I231" s="498"/>
      <c r="J231" s="499"/>
      <c r="K231" s="494"/>
      <c r="L231" s="498"/>
      <c r="M231" s="499"/>
    </row>
    <row r="232" spans="2:13" s="120" customFormat="1" ht="25.5">
      <c r="B232" s="621" t="s">
        <v>838</v>
      </c>
      <c r="C232" s="621" t="s">
        <v>752</v>
      </c>
      <c r="D232" s="639" t="s">
        <v>472</v>
      </c>
      <c r="E232" s="639">
        <v>1</v>
      </c>
      <c r="F232" s="640">
        <v>250</v>
      </c>
      <c r="G232" s="641">
        <f t="shared" si="13"/>
        <v>250</v>
      </c>
      <c r="H232" s="497"/>
      <c r="I232" s="498"/>
      <c r="J232" s="499"/>
      <c r="K232" s="494"/>
      <c r="L232" s="498"/>
      <c r="M232" s="499"/>
    </row>
    <row r="233" spans="2:13" s="120" customFormat="1" ht="25.5">
      <c r="B233" s="621" t="s">
        <v>839</v>
      </c>
      <c r="C233" s="621" t="s">
        <v>753</v>
      </c>
      <c r="D233" s="639" t="s">
        <v>472</v>
      </c>
      <c r="E233" s="639">
        <v>1</v>
      </c>
      <c r="F233" s="640">
        <v>400</v>
      </c>
      <c r="G233" s="641">
        <f t="shared" si="13"/>
        <v>400</v>
      </c>
      <c r="H233" s="497"/>
      <c r="I233" s="498"/>
      <c r="J233" s="499"/>
      <c r="K233" s="494"/>
      <c r="L233" s="498"/>
      <c r="M233" s="499"/>
    </row>
    <row r="234" spans="2:13" s="120" customFormat="1">
      <c r="B234" s="621" t="s">
        <v>840</v>
      </c>
      <c r="C234" s="621" t="s">
        <v>754</v>
      </c>
      <c r="D234" s="639" t="s">
        <v>472</v>
      </c>
      <c r="E234" s="639">
        <v>1</v>
      </c>
      <c r="F234" s="640">
        <v>230</v>
      </c>
      <c r="G234" s="641">
        <f t="shared" si="13"/>
        <v>230</v>
      </c>
      <c r="H234" s="497"/>
      <c r="I234" s="498"/>
      <c r="J234" s="499"/>
      <c r="K234" s="494"/>
      <c r="L234" s="498"/>
      <c r="M234" s="499"/>
    </row>
    <row r="235" spans="2:13" s="120" customFormat="1">
      <c r="B235" s="621" t="s">
        <v>841</v>
      </c>
      <c r="C235" s="621" t="s">
        <v>755</v>
      </c>
      <c r="D235" s="639" t="s">
        <v>472</v>
      </c>
      <c r="E235" s="639">
        <v>1</v>
      </c>
      <c r="F235" s="640">
        <v>3200</v>
      </c>
      <c r="G235" s="641">
        <f t="shared" si="13"/>
        <v>3200</v>
      </c>
      <c r="H235" s="497"/>
      <c r="I235" s="498"/>
      <c r="J235" s="499"/>
      <c r="K235" s="494"/>
      <c r="L235" s="498"/>
      <c r="M235" s="499"/>
    </row>
    <row r="236" spans="2:13" s="120" customFormat="1" ht="25.5">
      <c r="B236" s="621" t="s">
        <v>842</v>
      </c>
      <c r="C236" s="621" t="s">
        <v>756</v>
      </c>
      <c r="D236" s="639" t="s">
        <v>472</v>
      </c>
      <c r="E236" s="639">
        <v>6</v>
      </c>
      <c r="F236" s="640">
        <v>85</v>
      </c>
      <c r="G236" s="641">
        <v>509.98</v>
      </c>
      <c r="H236" s="497"/>
      <c r="I236" s="498"/>
      <c r="J236" s="499"/>
      <c r="K236" s="494"/>
      <c r="L236" s="498"/>
      <c r="M236" s="499"/>
    </row>
    <row r="237" spans="2:13" s="120" customFormat="1">
      <c r="B237" s="621" t="s">
        <v>843</v>
      </c>
      <c r="C237" s="621" t="s">
        <v>757</v>
      </c>
      <c r="D237" s="639" t="s">
        <v>472</v>
      </c>
      <c r="E237" s="639">
        <v>60</v>
      </c>
      <c r="F237" s="640">
        <v>50</v>
      </c>
      <c r="G237" s="641">
        <v>3000.24</v>
      </c>
      <c r="H237" s="497"/>
      <c r="I237" s="498"/>
      <c r="J237" s="499"/>
      <c r="K237" s="494"/>
      <c r="L237" s="498"/>
      <c r="M237" s="499"/>
    </row>
    <row r="238" spans="2:13" s="120" customFormat="1" ht="38.25">
      <c r="B238" s="621" t="s">
        <v>844</v>
      </c>
      <c r="C238" s="621" t="s">
        <v>758</v>
      </c>
      <c r="D238" s="639" t="s">
        <v>743</v>
      </c>
      <c r="E238" s="639">
        <v>19</v>
      </c>
      <c r="F238" s="640">
        <v>350</v>
      </c>
      <c r="G238" s="641">
        <f t="shared" si="13"/>
        <v>6650</v>
      </c>
      <c r="H238" s="497"/>
      <c r="I238" s="498"/>
      <c r="J238" s="499"/>
      <c r="K238" s="494"/>
      <c r="L238" s="498"/>
      <c r="M238" s="499"/>
    </row>
    <row r="239" spans="2:13" s="120" customFormat="1" ht="38.25">
      <c r="B239" s="621" t="s">
        <v>845</v>
      </c>
      <c r="C239" s="621" t="s">
        <v>759</v>
      </c>
      <c r="D239" s="639" t="s">
        <v>743</v>
      </c>
      <c r="E239" s="639">
        <v>2</v>
      </c>
      <c r="F239" s="640">
        <v>600</v>
      </c>
      <c r="G239" s="641">
        <f t="shared" si="13"/>
        <v>1200</v>
      </c>
      <c r="H239" s="497"/>
      <c r="I239" s="498"/>
      <c r="J239" s="499"/>
      <c r="K239" s="494"/>
      <c r="L239" s="498"/>
      <c r="M239" s="499"/>
    </row>
    <row r="240" spans="2:13" s="120" customFormat="1" ht="38.25">
      <c r="B240" s="621" t="s">
        <v>846</v>
      </c>
      <c r="C240" s="621" t="s">
        <v>760</v>
      </c>
      <c r="D240" s="639" t="s">
        <v>743</v>
      </c>
      <c r="E240" s="639">
        <v>0.2</v>
      </c>
      <c r="F240" s="640">
        <v>1000</v>
      </c>
      <c r="G240" s="641">
        <f t="shared" si="13"/>
        <v>200</v>
      </c>
      <c r="H240" s="497"/>
      <c r="I240" s="498"/>
      <c r="J240" s="499"/>
      <c r="K240" s="494"/>
      <c r="L240" s="498"/>
      <c r="M240" s="499"/>
    </row>
    <row r="241" spans="2:13" s="120" customFormat="1" ht="25.5">
      <c r="B241" s="621" t="s">
        <v>847</v>
      </c>
      <c r="C241" s="621" t="s">
        <v>761</v>
      </c>
      <c r="D241" s="639" t="s">
        <v>743</v>
      </c>
      <c r="E241" s="639">
        <v>9</v>
      </c>
      <c r="F241" s="640">
        <v>380</v>
      </c>
      <c r="G241" s="641">
        <f t="shared" ref="G241:G253" si="14">E241*F241</f>
        <v>3420</v>
      </c>
      <c r="H241" s="497"/>
      <c r="I241" s="498"/>
      <c r="J241" s="499"/>
      <c r="K241" s="494"/>
      <c r="L241" s="498"/>
      <c r="M241" s="499"/>
    </row>
    <row r="242" spans="2:13" s="120" customFormat="1">
      <c r="B242" s="621" t="s">
        <v>848</v>
      </c>
      <c r="C242" s="621" t="s">
        <v>762</v>
      </c>
      <c r="D242" s="639" t="s">
        <v>472</v>
      </c>
      <c r="E242" s="639">
        <v>2</v>
      </c>
      <c r="F242" s="640">
        <v>150</v>
      </c>
      <c r="G242" s="641">
        <f t="shared" si="14"/>
        <v>300</v>
      </c>
      <c r="H242" s="497"/>
      <c r="I242" s="498"/>
      <c r="J242" s="499"/>
      <c r="K242" s="494"/>
      <c r="L242" s="498"/>
      <c r="M242" s="499"/>
    </row>
    <row r="243" spans="2:13" s="120" customFormat="1" ht="38.25">
      <c r="B243" s="621" t="s">
        <v>849</v>
      </c>
      <c r="C243" s="621" t="s">
        <v>763</v>
      </c>
      <c r="D243" s="639" t="s">
        <v>743</v>
      </c>
      <c r="E243" s="639">
        <v>0.5</v>
      </c>
      <c r="F243" s="640">
        <v>800</v>
      </c>
      <c r="G243" s="641">
        <f t="shared" si="14"/>
        <v>400</v>
      </c>
      <c r="H243" s="497"/>
      <c r="I243" s="498"/>
      <c r="J243" s="499"/>
      <c r="K243" s="494"/>
      <c r="L243" s="498"/>
      <c r="M243" s="499"/>
    </row>
    <row r="244" spans="2:13" s="120" customFormat="1" ht="38.25">
      <c r="B244" s="621" t="s">
        <v>850</v>
      </c>
      <c r="C244" s="621" t="s">
        <v>764</v>
      </c>
      <c r="D244" s="639" t="s">
        <v>743</v>
      </c>
      <c r="E244" s="639">
        <v>5</v>
      </c>
      <c r="F244" s="640">
        <v>150</v>
      </c>
      <c r="G244" s="641">
        <f t="shared" si="14"/>
        <v>750</v>
      </c>
      <c r="H244" s="497"/>
      <c r="I244" s="498"/>
      <c r="J244" s="499"/>
      <c r="K244" s="494"/>
      <c r="L244" s="498"/>
      <c r="M244" s="499"/>
    </row>
    <row r="245" spans="2:13" s="120" customFormat="1" ht="38.25">
      <c r="B245" s="621" t="s">
        <v>851</v>
      </c>
      <c r="C245" s="621" t="s">
        <v>765</v>
      </c>
      <c r="D245" s="639" t="s">
        <v>743</v>
      </c>
      <c r="E245" s="639">
        <v>8</v>
      </c>
      <c r="F245" s="640">
        <v>580</v>
      </c>
      <c r="G245" s="641">
        <f t="shared" si="14"/>
        <v>4640</v>
      </c>
      <c r="H245" s="497"/>
      <c r="I245" s="498"/>
      <c r="J245" s="499"/>
      <c r="K245" s="494"/>
      <c r="L245" s="498"/>
      <c r="M245" s="499"/>
    </row>
    <row r="246" spans="2:13" s="120" customFormat="1" ht="38.25">
      <c r="B246" s="621" t="s">
        <v>852</v>
      </c>
      <c r="C246" s="621" t="s">
        <v>766</v>
      </c>
      <c r="D246" s="639" t="s">
        <v>743</v>
      </c>
      <c r="E246" s="639">
        <v>1.8</v>
      </c>
      <c r="F246" s="640">
        <v>850</v>
      </c>
      <c r="G246" s="641">
        <f t="shared" si="14"/>
        <v>1530</v>
      </c>
      <c r="H246" s="497"/>
      <c r="I246" s="498"/>
      <c r="J246" s="499"/>
      <c r="K246" s="494"/>
      <c r="L246" s="498"/>
      <c r="M246" s="499"/>
    </row>
    <row r="247" spans="2:13" s="120" customFormat="1">
      <c r="B247" s="621" t="s">
        <v>853</v>
      </c>
      <c r="C247" s="621" t="s">
        <v>767</v>
      </c>
      <c r="D247" s="639" t="s">
        <v>472</v>
      </c>
      <c r="E247" s="639">
        <v>10</v>
      </c>
      <c r="F247" s="640">
        <v>50</v>
      </c>
      <c r="G247" s="641">
        <f t="shared" si="14"/>
        <v>500</v>
      </c>
      <c r="H247" s="497"/>
      <c r="I247" s="498"/>
      <c r="J247" s="499"/>
      <c r="K247" s="494"/>
      <c r="L247" s="498"/>
      <c r="M247" s="499"/>
    </row>
    <row r="248" spans="2:13" s="120" customFormat="1">
      <c r="B248" s="621" t="s">
        <v>854</v>
      </c>
      <c r="C248" s="621" t="s">
        <v>768</v>
      </c>
      <c r="D248" s="639" t="s">
        <v>472</v>
      </c>
      <c r="E248" s="639">
        <v>6</v>
      </c>
      <c r="F248" s="640">
        <v>30</v>
      </c>
      <c r="G248" s="641">
        <f t="shared" si="14"/>
        <v>180</v>
      </c>
      <c r="H248" s="497"/>
      <c r="I248" s="498"/>
      <c r="J248" s="499"/>
      <c r="K248" s="494"/>
      <c r="L248" s="498"/>
      <c r="M248" s="499"/>
    </row>
    <row r="249" spans="2:13" s="120" customFormat="1" ht="38.25">
      <c r="B249" s="621" t="s">
        <v>855</v>
      </c>
      <c r="C249" s="621" t="s">
        <v>769</v>
      </c>
      <c r="D249" s="639" t="s">
        <v>472</v>
      </c>
      <c r="E249" s="639">
        <v>2</v>
      </c>
      <c r="F249" s="640">
        <v>750</v>
      </c>
      <c r="G249" s="641">
        <f t="shared" si="14"/>
        <v>1500</v>
      </c>
      <c r="H249" s="497"/>
      <c r="I249" s="498"/>
      <c r="J249" s="499"/>
      <c r="K249" s="494"/>
      <c r="L249" s="498"/>
      <c r="M249" s="499"/>
    </row>
    <row r="250" spans="2:13" s="120" customFormat="1" ht="38.25">
      <c r="B250" s="621" t="s">
        <v>856</v>
      </c>
      <c r="C250" s="621" t="s">
        <v>770</v>
      </c>
      <c r="D250" s="639" t="s">
        <v>743</v>
      </c>
      <c r="E250" s="639">
        <v>0.5</v>
      </c>
      <c r="F250" s="640">
        <v>900</v>
      </c>
      <c r="G250" s="641">
        <f t="shared" si="14"/>
        <v>450</v>
      </c>
      <c r="H250" s="497"/>
      <c r="I250" s="498"/>
      <c r="J250" s="499"/>
      <c r="K250" s="494"/>
      <c r="L250" s="498"/>
      <c r="M250" s="499"/>
    </row>
    <row r="251" spans="2:13" s="120" customFormat="1" ht="38.25">
      <c r="B251" s="621" t="s">
        <v>857</v>
      </c>
      <c r="C251" s="621" t="s">
        <v>771</v>
      </c>
      <c r="D251" s="639" t="s">
        <v>743</v>
      </c>
      <c r="E251" s="639">
        <v>1.5</v>
      </c>
      <c r="F251" s="640">
        <v>1700</v>
      </c>
      <c r="G251" s="641">
        <f t="shared" si="14"/>
        <v>2550</v>
      </c>
      <c r="H251" s="497"/>
      <c r="I251" s="498"/>
      <c r="J251" s="499"/>
      <c r="K251" s="494"/>
      <c r="L251" s="498"/>
      <c r="M251" s="499"/>
    </row>
    <row r="252" spans="2:13" s="120" customFormat="1" ht="25.5">
      <c r="B252" s="621" t="s">
        <v>858</v>
      </c>
      <c r="C252" s="621" t="s">
        <v>772</v>
      </c>
      <c r="D252" s="639" t="s">
        <v>472</v>
      </c>
      <c r="E252" s="639">
        <v>160</v>
      </c>
      <c r="F252" s="640">
        <v>60</v>
      </c>
      <c r="G252" s="641">
        <f t="shared" si="14"/>
        <v>9600</v>
      </c>
      <c r="H252" s="497"/>
      <c r="I252" s="498"/>
      <c r="J252" s="499"/>
      <c r="K252" s="494"/>
      <c r="L252" s="498"/>
      <c r="M252" s="499"/>
    </row>
    <row r="253" spans="2:13" s="120" customFormat="1" ht="26.25" thickBot="1">
      <c r="B253" s="662" t="s">
        <v>859</v>
      </c>
      <c r="C253" s="662" t="s">
        <v>773</v>
      </c>
      <c r="D253" s="663" t="s">
        <v>472</v>
      </c>
      <c r="E253" s="663">
        <v>200</v>
      </c>
      <c r="F253" s="664">
        <v>20</v>
      </c>
      <c r="G253" s="665">
        <f t="shared" si="14"/>
        <v>4000</v>
      </c>
      <c r="H253" s="678"/>
      <c r="I253" s="679"/>
      <c r="J253" s="680"/>
      <c r="K253" s="681"/>
      <c r="L253" s="679"/>
      <c r="M253" s="680"/>
    </row>
    <row r="254" spans="2:13" s="120" customFormat="1" ht="26.25" thickBot="1">
      <c r="B254" s="653" t="s">
        <v>860</v>
      </c>
      <c r="C254" s="654" t="s">
        <v>680</v>
      </c>
      <c r="D254" s="655" t="s">
        <v>26</v>
      </c>
      <c r="E254" s="655" t="s">
        <v>26</v>
      </c>
      <c r="F254" s="656" t="s">
        <v>26</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257</v>
      </c>
      <c r="D256" s="491" t="s">
        <v>26</v>
      </c>
      <c r="E256" s="491" t="s">
        <v>26</v>
      </c>
      <c r="F256" s="501" t="s">
        <v>26</v>
      </c>
      <c r="G256" s="502">
        <f>G164</f>
        <v>44468.99</v>
      </c>
      <c r="H256" s="501" t="s">
        <v>26</v>
      </c>
      <c r="I256" s="491" t="s">
        <v>26</v>
      </c>
      <c r="J256" s="503">
        <f>J164</f>
        <v>477131.95</v>
      </c>
      <c r="K256" s="491" t="s">
        <v>26</v>
      </c>
      <c r="L256" s="491" t="s">
        <v>26</v>
      </c>
      <c r="M256" s="503">
        <f>M164</f>
        <v>341416.55</v>
      </c>
    </row>
    <row r="258" spans="2:13">
      <c r="B258" s="110" t="s">
        <v>238</v>
      </c>
      <c r="C258" s="461"/>
      <c r="D258" s="461"/>
      <c r="E258" s="461"/>
      <c r="F258" s="461"/>
      <c r="G258" s="461"/>
      <c r="H258" s="461"/>
      <c r="I258" s="461"/>
      <c r="J258" s="461"/>
      <c r="K258" s="461"/>
      <c r="L258" s="461"/>
      <c r="M258" s="461"/>
    </row>
    <row r="259" spans="2:13">
      <c r="B259" s="29" t="s">
        <v>239</v>
      </c>
      <c r="C259" s="319"/>
      <c r="D259" s="319"/>
      <c r="E259" s="319"/>
      <c r="F259" s="319"/>
      <c r="G259" s="319"/>
      <c r="H259" s="319"/>
      <c r="I259" s="319"/>
      <c r="J259" s="319"/>
      <c r="K259" s="319"/>
      <c r="L259" s="319"/>
      <c r="M259" s="319"/>
    </row>
    <row r="260" spans="2:13">
      <c r="B260" s="29" t="s">
        <v>240</v>
      </c>
      <c r="C260" s="319"/>
      <c r="D260" s="319"/>
      <c r="E260" s="319"/>
      <c r="F260" s="319"/>
      <c r="G260" s="319"/>
      <c r="H260" s="319"/>
      <c r="I260" s="319"/>
      <c r="J260" s="319"/>
      <c r="K260" s="319"/>
      <c r="L260" s="319"/>
      <c r="M260" s="319"/>
    </row>
    <row r="261" spans="2:13">
      <c r="B261" s="116" t="s">
        <v>450</v>
      </c>
      <c r="C261" s="319"/>
      <c r="D261" s="319"/>
      <c r="E261" s="319"/>
      <c r="F261" s="319"/>
      <c r="G261" s="319"/>
      <c r="H261" s="319"/>
      <c r="I261" s="319"/>
      <c r="J261" s="319"/>
      <c r="K261" s="319"/>
      <c r="L261" s="319"/>
      <c r="M261" s="319"/>
    </row>
    <row r="262" spans="2:13">
      <c r="B262" s="1043" t="s">
        <v>179</v>
      </c>
      <c r="C262" s="1114" t="s">
        <v>247</v>
      </c>
      <c r="D262" s="1114" t="s">
        <v>443</v>
      </c>
      <c r="E262" s="1117" t="s">
        <v>562</v>
      </c>
      <c r="F262" s="1118"/>
      <c r="G262" s="1119"/>
      <c r="H262" s="1117" t="s">
        <v>563</v>
      </c>
      <c r="I262" s="1118"/>
      <c r="J262" s="1119"/>
      <c r="K262" s="1117" t="s">
        <v>564</v>
      </c>
      <c r="L262" s="1118"/>
      <c r="M262" s="1119"/>
    </row>
    <row r="263" spans="2:13">
      <c r="B263" s="1043"/>
      <c r="C263" s="1114"/>
      <c r="D263" s="1114"/>
      <c r="E263" s="1114" t="s">
        <v>422</v>
      </c>
      <c r="F263" s="1114" t="s">
        <v>310</v>
      </c>
      <c r="G263" s="1114" t="s">
        <v>250</v>
      </c>
      <c r="H263" s="1114" t="s">
        <v>422</v>
      </c>
      <c r="I263" s="465" t="s">
        <v>369</v>
      </c>
      <c r="J263" s="1114" t="s">
        <v>250</v>
      </c>
      <c r="K263" s="1114" t="s">
        <v>422</v>
      </c>
      <c r="L263" s="465" t="s">
        <v>369</v>
      </c>
      <c r="M263" s="1114" t="s">
        <v>250</v>
      </c>
    </row>
    <row r="264" spans="2:13">
      <c r="B264" s="1043"/>
      <c r="C264" s="1114"/>
      <c r="D264" s="1114"/>
      <c r="E264" s="1114"/>
      <c r="F264" s="1114"/>
      <c r="G264" s="1114"/>
      <c r="H264" s="1114"/>
      <c r="I264" s="465" t="s">
        <v>437</v>
      </c>
      <c r="J264" s="1114"/>
      <c r="K264" s="1114"/>
      <c r="L264" s="465" t="s">
        <v>437</v>
      </c>
      <c r="M264" s="1114"/>
    </row>
    <row r="265" spans="2:13" ht="38.25">
      <c r="B265" s="313">
        <v>1</v>
      </c>
      <c r="C265" s="467" t="s">
        <v>646</v>
      </c>
      <c r="D265" s="494" t="s">
        <v>26</v>
      </c>
      <c r="E265" s="494" t="s">
        <v>26</v>
      </c>
      <c r="F265" s="495" t="s">
        <v>26</v>
      </c>
      <c r="G265" s="496">
        <v>26310.14</v>
      </c>
      <c r="H265" s="497" t="s">
        <v>26</v>
      </c>
      <c r="I265" s="498" t="s">
        <v>26</v>
      </c>
      <c r="J265" s="499">
        <v>30893.68</v>
      </c>
      <c r="K265" s="494" t="s">
        <v>26</v>
      </c>
      <c r="L265" s="498" t="s">
        <v>26</v>
      </c>
      <c r="M265" s="499">
        <v>30616.73</v>
      </c>
    </row>
    <row r="266" spans="2:13" s="120" customFormat="1" ht="38.25">
      <c r="B266" s="459">
        <v>2</v>
      </c>
      <c r="C266" s="467" t="s">
        <v>645</v>
      </c>
      <c r="D266" s="494" t="s">
        <v>26</v>
      </c>
      <c r="E266" s="494" t="s">
        <v>26</v>
      </c>
      <c r="F266" s="495" t="s">
        <v>26</v>
      </c>
      <c r="G266" s="496">
        <v>187438.31</v>
      </c>
      <c r="H266" s="497" t="s">
        <v>26</v>
      </c>
      <c r="I266" s="498" t="s">
        <v>26</v>
      </c>
      <c r="J266" s="499">
        <v>87438.32</v>
      </c>
      <c r="K266" s="494" t="s">
        <v>26</v>
      </c>
      <c r="L266" s="498" t="s">
        <v>26</v>
      </c>
      <c r="M266" s="499">
        <v>87438.31</v>
      </c>
    </row>
    <row r="267" spans="2:13">
      <c r="B267" s="138"/>
      <c r="C267" s="490" t="s">
        <v>257</v>
      </c>
      <c r="D267" s="491" t="s">
        <v>26</v>
      </c>
      <c r="E267" s="491" t="s">
        <v>26</v>
      </c>
      <c r="F267" s="501" t="s">
        <v>26</v>
      </c>
      <c r="G267" s="502">
        <f>SUM(G265:G266)</f>
        <v>213748.45</v>
      </c>
      <c r="H267" s="501" t="s">
        <v>26</v>
      </c>
      <c r="I267" s="491" t="s">
        <v>26</v>
      </c>
      <c r="J267" s="503">
        <f>SUM(J265:J266)</f>
        <v>118332</v>
      </c>
      <c r="K267" s="491" t="s">
        <v>26</v>
      </c>
      <c r="L267" s="491" t="s">
        <v>26</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654</v>
      </c>
      <c r="C270" s="461"/>
      <c r="D270" s="461"/>
      <c r="E270" s="461"/>
      <c r="F270" s="461"/>
      <c r="G270" s="461"/>
      <c r="H270" s="461"/>
      <c r="I270" s="461"/>
      <c r="J270" s="461"/>
      <c r="K270" s="461"/>
      <c r="L270" s="461"/>
      <c r="M270" s="461"/>
    </row>
    <row r="271" spans="2:13" s="120" customFormat="1">
      <c r="B271" s="319" t="s">
        <v>244</v>
      </c>
      <c r="C271" s="319"/>
      <c r="D271" s="319"/>
      <c r="E271" s="319"/>
      <c r="F271" s="319"/>
      <c r="G271" s="319"/>
      <c r="H271" s="319"/>
      <c r="I271" s="319"/>
      <c r="J271" s="319"/>
      <c r="K271" s="319"/>
      <c r="L271" s="319"/>
      <c r="M271" s="319"/>
    </row>
    <row r="272" spans="2:13" s="120" customFormat="1">
      <c r="B272" s="319" t="s">
        <v>245</v>
      </c>
      <c r="C272" s="319"/>
      <c r="D272" s="319"/>
      <c r="E272" s="319"/>
      <c r="F272" s="319"/>
      <c r="G272" s="319"/>
      <c r="H272" s="319"/>
      <c r="I272" s="319"/>
      <c r="J272" s="319"/>
      <c r="K272" s="319"/>
      <c r="L272" s="319"/>
      <c r="M272" s="319"/>
    </row>
    <row r="273" spans="2:17" s="120" customFormat="1">
      <c r="B273" s="472" t="s">
        <v>450</v>
      </c>
      <c r="C273" s="319"/>
      <c r="D273" s="319"/>
      <c r="E273" s="319"/>
      <c r="F273" s="319"/>
      <c r="G273" s="319"/>
      <c r="H273" s="319"/>
      <c r="I273" s="319"/>
      <c r="J273" s="319"/>
      <c r="K273" s="319"/>
      <c r="L273" s="319"/>
      <c r="M273" s="319"/>
    </row>
    <row r="274" spans="2:17" s="120" customFormat="1">
      <c r="B274" s="1114" t="s">
        <v>179</v>
      </c>
      <c r="C274" s="1114" t="s">
        <v>247</v>
      </c>
      <c r="D274" s="1114" t="s">
        <v>443</v>
      </c>
      <c r="E274" s="1117" t="s">
        <v>562</v>
      </c>
      <c r="F274" s="1118"/>
      <c r="G274" s="1119"/>
      <c r="H274" s="1117" t="s">
        <v>563</v>
      </c>
      <c r="I274" s="1118"/>
      <c r="J274" s="1119"/>
      <c r="K274" s="1117" t="s">
        <v>564</v>
      </c>
      <c r="L274" s="1118"/>
      <c r="M274" s="1119"/>
    </row>
    <row r="275" spans="2:17" s="120" customFormat="1">
      <c r="B275" s="1114"/>
      <c r="C275" s="1114"/>
      <c r="D275" s="1114"/>
      <c r="E275" s="1114" t="s">
        <v>422</v>
      </c>
      <c r="F275" s="1114" t="s">
        <v>310</v>
      </c>
      <c r="G275" s="1114" t="s">
        <v>250</v>
      </c>
      <c r="H275" s="1114" t="s">
        <v>422</v>
      </c>
      <c r="I275" s="465" t="s">
        <v>369</v>
      </c>
      <c r="J275" s="1114" t="s">
        <v>250</v>
      </c>
      <c r="K275" s="1114" t="s">
        <v>422</v>
      </c>
      <c r="L275" s="465" t="s">
        <v>369</v>
      </c>
      <c r="M275" s="1114" t="s">
        <v>250</v>
      </c>
    </row>
    <row r="276" spans="2:17" s="120" customFormat="1">
      <c r="B276" s="1114"/>
      <c r="C276" s="1114"/>
      <c r="D276" s="1114"/>
      <c r="E276" s="1114"/>
      <c r="F276" s="1114"/>
      <c r="G276" s="1114"/>
      <c r="H276" s="1114"/>
      <c r="I276" s="465" t="s">
        <v>437</v>
      </c>
      <c r="J276" s="1114"/>
      <c r="K276" s="1114"/>
      <c r="L276" s="465" t="s">
        <v>437</v>
      </c>
      <c r="M276" s="1114"/>
    </row>
    <row r="277" spans="2:17" s="120" customFormat="1" ht="38.25">
      <c r="B277" s="465">
        <v>1</v>
      </c>
      <c r="C277" s="467" t="s">
        <v>646</v>
      </c>
      <c r="D277" s="494" t="s">
        <v>26</v>
      </c>
      <c r="E277" s="494" t="s">
        <v>26</v>
      </c>
      <c r="F277" s="495" t="s">
        <v>26</v>
      </c>
      <c r="G277" s="496">
        <v>6171.52</v>
      </c>
      <c r="H277" s="497" t="s">
        <v>26</v>
      </c>
      <c r="I277" s="498" t="s">
        <v>26</v>
      </c>
      <c r="J277" s="499">
        <v>7246.66</v>
      </c>
      <c r="K277" s="494" t="s">
        <v>26</v>
      </c>
      <c r="L277" s="498" t="s">
        <v>26</v>
      </c>
      <c r="M277" s="499">
        <v>7181.72</v>
      </c>
    </row>
    <row r="278" spans="2:17" s="120" customFormat="1" ht="38.25">
      <c r="B278" s="465">
        <v>2</v>
      </c>
      <c r="C278" s="467" t="s">
        <v>645</v>
      </c>
      <c r="D278" s="494" t="s">
        <v>26</v>
      </c>
      <c r="E278" s="494" t="s">
        <v>26</v>
      </c>
      <c r="F278" s="495" t="s">
        <v>26</v>
      </c>
      <c r="G278" s="496">
        <v>537923.11</v>
      </c>
      <c r="H278" s="497" t="s">
        <v>26</v>
      </c>
      <c r="I278" s="498" t="s">
        <v>26</v>
      </c>
      <c r="J278" s="499">
        <v>491020.43</v>
      </c>
      <c r="K278" s="494" t="s">
        <v>26</v>
      </c>
      <c r="L278" s="498" t="s">
        <v>26</v>
      </c>
      <c r="M278" s="499">
        <v>491020.43</v>
      </c>
    </row>
    <row r="279" spans="2:17" s="120" customFormat="1">
      <c r="B279" s="500"/>
      <c r="C279" s="490" t="s">
        <v>257</v>
      </c>
      <c r="D279" s="491" t="s">
        <v>26</v>
      </c>
      <c r="E279" s="491" t="s">
        <v>26</v>
      </c>
      <c r="F279" s="501" t="s">
        <v>26</v>
      </c>
      <c r="G279" s="502">
        <f>SUM(G277:G278)</f>
        <v>544094.63</v>
      </c>
      <c r="H279" s="501" t="s">
        <v>26</v>
      </c>
      <c r="I279" s="491" t="s">
        <v>26</v>
      </c>
      <c r="J279" s="503">
        <f>SUM(J277:J278)</f>
        <v>498267.09</v>
      </c>
      <c r="K279" s="491" t="s">
        <v>26</v>
      </c>
      <c r="L279" s="491" t="s">
        <v>26</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451</v>
      </c>
    </row>
    <row r="282" spans="2:17" s="85" customFormat="1">
      <c r="B282" s="85" t="s">
        <v>246</v>
      </c>
      <c r="N282" s="29"/>
      <c r="O282" s="29"/>
    </row>
    <row r="283" spans="2:17">
      <c r="B283" s="29" t="s">
        <v>242</v>
      </c>
    </row>
    <row r="284" spans="2:17">
      <c r="B284" s="29" t="s">
        <v>282</v>
      </c>
    </row>
    <row r="285" spans="2:17">
      <c r="B285" s="116" t="s">
        <v>452</v>
      </c>
    </row>
    <row r="286" spans="2:17">
      <c r="B286" s="1043" t="s">
        <v>179</v>
      </c>
      <c r="C286" s="1043" t="s">
        <v>247</v>
      </c>
      <c r="D286" s="1043" t="s">
        <v>443</v>
      </c>
      <c r="E286" s="1043" t="s">
        <v>216</v>
      </c>
      <c r="F286" s="1043"/>
      <c r="G286" s="1043"/>
      <c r="H286" s="1043" t="s">
        <v>217</v>
      </c>
      <c r="I286" s="1043"/>
      <c r="J286" s="1043"/>
      <c r="K286" s="1043" t="s">
        <v>218</v>
      </c>
      <c r="L286" s="1043"/>
      <c r="M286" s="1043"/>
    </row>
    <row r="287" spans="2:17">
      <c r="B287" s="1043"/>
      <c r="C287" s="1043"/>
      <c r="D287" s="1043"/>
      <c r="E287" s="1043" t="s">
        <v>422</v>
      </c>
      <c r="F287" s="1043" t="s">
        <v>310</v>
      </c>
      <c r="G287" s="1043" t="s">
        <v>250</v>
      </c>
      <c r="H287" s="1043" t="s">
        <v>422</v>
      </c>
      <c r="I287" s="57" t="s">
        <v>369</v>
      </c>
      <c r="J287" s="1043" t="s">
        <v>250</v>
      </c>
      <c r="K287" s="1043" t="s">
        <v>422</v>
      </c>
      <c r="L287" s="57" t="s">
        <v>369</v>
      </c>
      <c r="M287" s="1043" t="s">
        <v>250</v>
      </c>
    </row>
    <row r="288" spans="2:17" s="114" customFormat="1">
      <c r="B288" s="1043"/>
      <c r="C288" s="1043"/>
      <c r="D288" s="1043"/>
      <c r="E288" s="1043"/>
      <c r="F288" s="1043"/>
      <c r="G288" s="1043"/>
      <c r="H288" s="1043"/>
      <c r="I288" s="57" t="s">
        <v>437</v>
      </c>
      <c r="J288" s="1043"/>
      <c r="K288" s="1043"/>
      <c r="L288" s="57" t="s">
        <v>437</v>
      </c>
      <c r="M288" s="1043"/>
      <c r="N288" s="29"/>
      <c r="O288" s="29"/>
    </row>
    <row r="289" spans="2:17" ht="25.5">
      <c r="B289" s="57">
        <v>1</v>
      </c>
      <c r="C289" s="57" t="s">
        <v>453</v>
      </c>
      <c r="D289" s="37" t="s">
        <v>454</v>
      </c>
      <c r="E289" s="37">
        <v>0</v>
      </c>
      <c r="F289" s="142" t="e">
        <f t="shared" si="11"/>
        <v>#DIV/0!</v>
      </c>
      <c r="G289" s="142">
        <v>0</v>
      </c>
      <c r="H289" s="118">
        <v>0</v>
      </c>
      <c r="I289" s="118">
        <v>0</v>
      </c>
      <c r="J289" s="118">
        <v>0</v>
      </c>
      <c r="K289" s="118">
        <v>0</v>
      </c>
      <c r="L289" s="118">
        <v>0</v>
      </c>
      <c r="M289" s="118">
        <v>0</v>
      </c>
    </row>
    <row r="290" spans="2:17">
      <c r="B290" s="138"/>
      <c r="C290" s="128" t="s">
        <v>257</v>
      </c>
      <c r="D290" s="37" t="s">
        <v>26</v>
      </c>
      <c r="E290" s="37" t="s">
        <v>26</v>
      </c>
      <c r="F290" s="37" t="s">
        <v>26</v>
      </c>
      <c r="G290" s="139">
        <f>G289</f>
        <v>0</v>
      </c>
      <c r="H290" s="37" t="s">
        <v>26</v>
      </c>
      <c r="I290" s="37" t="s">
        <v>26</v>
      </c>
      <c r="J290" s="140">
        <f>J289</f>
        <v>0</v>
      </c>
      <c r="K290" s="37" t="s">
        <v>26</v>
      </c>
      <c r="L290" s="37" t="s">
        <v>26</v>
      </c>
      <c r="M290" s="140">
        <f>M289</f>
        <v>0</v>
      </c>
    </row>
    <row r="291" spans="2:17">
      <c r="C291" s="131"/>
      <c r="D291" s="30"/>
      <c r="E291" s="30"/>
      <c r="F291" s="30"/>
      <c r="G291" s="132"/>
      <c r="H291" s="30"/>
      <c r="I291" s="30"/>
      <c r="J291" s="141"/>
      <c r="K291" s="30"/>
      <c r="L291" s="30"/>
      <c r="M291" s="141"/>
      <c r="Q291" t="s">
        <v>455</v>
      </c>
    </row>
    <row r="292" spans="2:17">
      <c r="B292" s="85" t="s">
        <v>246</v>
      </c>
      <c r="C292" s="85"/>
      <c r="D292" s="85"/>
      <c r="E292" s="85"/>
      <c r="F292" s="85"/>
      <c r="G292" s="85"/>
      <c r="H292" s="85"/>
      <c r="I292" s="85"/>
      <c r="J292" s="85"/>
      <c r="K292" s="85"/>
      <c r="L292" s="85"/>
      <c r="M292" s="85"/>
    </row>
    <row r="293" spans="2:17">
      <c r="B293" s="29" t="s">
        <v>242</v>
      </c>
    </row>
    <row r="294" spans="2:17">
      <c r="B294" s="29" t="s">
        <v>456</v>
      </c>
    </row>
    <row r="295" spans="2:17">
      <c r="B295" s="116" t="s">
        <v>452</v>
      </c>
    </row>
    <row r="296" spans="2:17">
      <c r="B296" s="1043" t="s">
        <v>179</v>
      </c>
      <c r="C296" s="1043" t="s">
        <v>247</v>
      </c>
      <c r="D296" s="1043" t="s">
        <v>421</v>
      </c>
      <c r="E296" s="1043" t="s">
        <v>216</v>
      </c>
      <c r="F296" s="1043"/>
      <c r="G296" s="1043"/>
      <c r="H296" s="1043" t="s">
        <v>217</v>
      </c>
      <c r="I296" s="1043"/>
      <c r="J296" s="1043"/>
      <c r="K296" s="1043" t="s">
        <v>218</v>
      </c>
      <c r="L296" s="1043"/>
      <c r="M296" s="1043"/>
    </row>
    <row r="297" spans="2:17">
      <c r="B297" s="1043"/>
      <c r="C297" s="1043"/>
      <c r="D297" s="1043"/>
      <c r="E297" s="1043" t="s">
        <v>422</v>
      </c>
      <c r="F297" s="1043" t="s">
        <v>310</v>
      </c>
      <c r="G297" s="1043" t="s">
        <v>250</v>
      </c>
      <c r="H297" s="1043" t="s">
        <v>422</v>
      </c>
      <c r="I297" s="57" t="s">
        <v>369</v>
      </c>
      <c r="J297" s="1043" t="s">
        <v>250</v>
      </c>
      <c r="K297" s="1043" t="s">
        <v>422</v>
      </c>
      <c r="L297" s="57" t="s">
        <v>369</v>
      </c>
      <c r="M297" s="1043" t="s">
        <v>250</v>
      </c>
    </row>
    <row r="298" spans="2:17">
      <c r="B298" s="1043"/>
      <c r="C298" s="1043"/>
      <c r="D298" s="1043"/>
      <c r="E298" s="1043"/>
      <c r="F298" s="1043"/>
      <c r="G298" s="1043"/>
      <c r="H298" s="1043"/>
      <c r="I298" s="57" t="s">
        <v>437</v>
      </c>
      <c r="J298" s="1043"/>
      <c r="K298" s="1043"/>
      <c r="L298" s="57" t="s">
        <v>437</v>
      </c>
      <c r="M298" s="1043"/>
    </row>
    <row r="299" spans="2:17" ht="51">
      <c r="B299" s="57">
        <v>1</v>
      </c>
      <c r="C299" s="81" t="s">
        <v>457</v>
      </c>
      <c r="D299" s="37" t="s">
        <v>454</v>
      </c>
      <c r="E299" s="134">
        <v>0</v>
      </c>
      <c r="F299" s="100">
        <v>0</v>
      </c>
      <c r="G299" s="100">
        <f t="shared" ref="G299:G300" si="15">E299*F299</f>
        <v>0</v>
      </c>
      <c r="H299" s="135">
        <v>0</v>
      </c>
      <c r="I299" s="135">
        <v>0</v>
      </c>
      <c r="J299" s="135">
        <v>0</v>
      </c>
      <c r="K299" s="135">
        <v>0</v>
      </c>
      <c r="L299" s="135">
        <v>0</v>
      </c>
      <c r="M299" s="135">
        <v>0</v>
      </c>
    </row>
    <row r="300" spans="2:17" ht="51">
      <c r="B300" s="57">
        <v>2</v>
      </c>
      <c r="C300" s="81" t="s">
        <v>458</v>
      </c>
      <c r="D300" s="37" t="s">
        <v>459</v>
      </c>
      <c r="E300" s="134">
        <v>0</v>
      </c>
      <c r="F300" s="100">
        <v>0</v>
      </c>
      <c r="G300" s="100">
        <f t="shared" si="15"/>
        <v>0</v>
      </c>
      <c r="H300" s="135">
        <v>0</v>
      </c>
      <c r="I300" s="135">
        <v>0</v>
      </c>
      <c r="J300" s="135">
        <v>0</v>
      </c>
      <c r="K300" s="135">
        <v>0</v>
      </c>
      <c r="L300" s="135">
        <v>0</v>
      </c>
      <c r="M300" s="135">
        <v>0</v>
      </c>
    </row>
    <row r="301" spans="2:17">
      <c r="B301" s="117"/>
      <c r="C301" s="128" t="s">
        <v>257</v>
      </c>
      <c r="D301" s="37" t="s">
        <v>26</v>
      </c>
      <c r="E301" s="37" t="s">
        <v>26</v>
      </c>
      <c r="F301" s="37" t="s">
        <v>26</v>
      </c>
      <c r="G301" s="100">
        <f>G299+G300</f>
        <v>0</v>
      </c>
      <c r="H301" s="37" t="s">
        <v>26</v>
      </c>
      <c r="I301" s="37" t="s">
        <v>26</v>
      </c>
      <c r="J301" s="100">
        <f>J299+J300</f>
        <v>0</v>
      </c>
      <c r="K301" s="37" t="s">
        <v>26</v>
      </c>
      <c r="L301" s="37" t="s">
        <v>26</v>
      </c>
      <c r="M301" s="100">
        <f>M299+M300</f>
        <v>0</v>
      </c>
    </row>
    <row r="302" spans="2:17">
      <c r="B302" s="116"/>
      <c r="C302" s="131"/>
      <c r="D302" s="30"/>
      <c r="E302" s="143"/>
      <c r="F302" s="130"/>
      <c r="G302" s="130"/>
      <c r="H302" s="144"/>
      <c r="I302" s="144"/>
      <c r="J302" s="144"/>
      <c r="K302" s="144"/>
      <c r="L302" s="144"/>
      <c r="M302" s="144"/>
    </row>
    <row r="303" spans="2:17">
      <c r="B303" s="110" t="s">
        <v>238</v>
      </c>
      <c r="C303" s="110"/>
      <c r="D303" s="110"/>
      <c r="E303" s="110"/>
      <c r="F303" s="110"/>
      <c r="G303" s="110"/>
      <c r="H303" s="110"/>
      <c r="I303" s="110"/>
      <c r="J303" s="110"/>
      <c r="K303" s="110"/>
      <c r="L303" s="110"/>
      <c r="M303" s="110"/>
    </row>
    <row r="304" spans="2:17">
      <c r="B304" s="116" t="s">
        <v>239</v>
      </c>
    </row>
    <row r="305" spans="2:17">
      <c r="B305" s="116" t="s">
        <v>240</v>
      </c>
    </row>
    <row r="306" spans="2:17">
      <c r="B306" s="116" t="s">
        <v>460</v>
      </c>
    </row>
    <row r="307" spans="2:17">
      <c r="B307" s="1043" t="s">
        <v>179</v>
      </c>
      <c r="C307" s="1043" t="s">
        <v>247</v>
      </c>
      <c r="D307" s="1043" t="s">
        <v>443</v>
      </c>
      <c r="E307" s="1043" t="s">
        <v>216</v>
      </c>
      <c r="F307" s="1043"/>
      <c r="G307" s="1043"/>
      <c r="H307" s="1043" t="s">
        <v>217</v>
      </c>
      <c r="I307" s="1043"/>
      <c r="J307" s="1043"/>
      <c r="K307" s="1043" t="s">
        <v>218</v>
      </c>
      <c r="L307" s="1043"/>
      <c r="M307" s="1043"/>
    </row>
    <row r="308" spans="2:17">
      <c r="B308" s="1043"/>
      <c r="C308" s="1043"/>
      <c r="D308" s="1043"/>
      <c r="E308" s="1043" t="s">
        <v>422</v>
      </c>
      <c r="F308" s="1113" t="s">
        <v>310</v>
      </c>
      <c r="G308" s="1113" t="s">
        <v>250</v>
      </c>
      <c r="H308" s="1113" t="s">
        <v>422</v>
      </c>
      <c r="I308" s="57" t="s">
        <v>369</v>
      </c>
      <c r="J308" s="1043" t="s">
        <v>250</v>
      </c>
      <c r="K308" s="1043" t="s">
        <v>422</v>
      </c>
      <c r="L308" s="57" t="s">
        <v>369</v>
      </c>
      <c r="M308" s="1043" t="s">
        <v>250</v>
      </c>
    </row>
    <row r="309" spans="2:17">
      <c r="B309" s="1043"/>
      <c r="C309" s="1043"/>
      <c r="D309" s="1043"/>
      <c r="E309" s="1043"/>
      <c r="F309" s="1113"/>
      <c r="G309" s="1113"/>
      <c r="H309" s="1113"/>
      <c r="I309" s="57" t="s">
        <v>437</v>
      </c>
      <c r="J309" s="1043"/>
      <c r="K309" s="1043"/>
      <c r="L309" s="57" t="s">
        <v>437</v>
      </c>
      <c r="M309" s="1043"/>
    </row>
    <row r="310" spans="2:17" ht="25.5">
      <c r="B310" s="57">
        <v>1</v>
      </c>
      <c r="C310" s="73" t="s">
        <v>461</v>
      </c>
      <c r="D310" s="37" t="s">
        <v>454</v>
      </c>
      <c r="E310" s="37">
        <v>1</v>
      </c>
      <c r="F310" s="278">
        <v>0</v>
      </c>
      <c r="G310" s="278">
        <v>0</v>
      </c>
      <c r="H310" s="258">
        <v>0</v>
      </c>
      <c r="I310" s="118">
        <v>0</v>
      </c>
      <c r="J310" s="118">
        <v>0</v>
      </c>
      <c r="K310" s="118">
        <v>0</v>
      </c>
      <c r="L310" s="118">
        <v>0</v>
      </c>
      <c r="M310" s="118">
        <v>0</v>
      </c>
      <c r="Q310" s="142">
        <v>59848.95</v>
      </c>
    </row>
    <row r="311" spans="2:17">
      <c r="B311" s="138"/>
      <c r="C311" s="128" t="s">
        <v>257</v>
      </c>
      <c r="D311" s="138"/>
      <c r="E311" s="145">
        <f>SUM(E310:E310)</f>
        <v>1</v>
      </c>
      <c r="F311" s="292" t="s">
        <v>26</v>
      </c>
      <c r="G311" s="278">
        <f>G310</f>
        <v>0</v>
      </c>
      <c r="H311" s="292" t="s">
        <v>26</v>
      </c>
      <c r="I311" s="37" t="s">
        <v>26</v>
      </c>
      <c r="J311" s="37" t="s">
        <v>26</v>
      </c>
      <c r="K311" s="37" t="s">
        <v>26</v>
      </c>
      <c r="L311" s="37" t="s">
        <v>26</v>
      </c>
      <c r="M311" s="37" t="s">
        <v>26</v>
      </c>
    </row>
    <row r="313" spans="2:17">
      <c r="B313" s="110" t="s">
        <v>238</v>
      </c>
      <c r="C313" s="110"/>
      <c r="D313" s="110"/>
      <c r="E313" s="110"/>
      <c r="F313" s="110"/>
      <c r="G313" s="110"/>
      <c r="H313" s="110"/>
      <c r="I313" s="110"/>
      <c r="J313" s="110"/>
      <c r="K313" s="110"/>
      <c r="L313" s="110"/>
      <c r="M313" s="110"/>
    </row>
    <row r="314" spans="2:17">
      <c r="B314" s="116" t="s">
        <v>239</v>
      </c>
    </row>
    <row r="315" spans="2:17">
      <c r="B315" s="116" t="s">
        <v>462</v>
      </c>
    </row>
    <row r="316" spans="2:17">
      <c r="B316" s="116" t="s">
        <v>460</v>
      </c>
    </row>
    <row r="317" spans="2:17">
      <c r="B317" s="1043" t="s">
        <v>179</v>
      </c>
      <c r="C317" s="1043" t="s">
        <v>247</v>
      </c>
      <c r="D317" s="1043" t="s">
        <v>443</v>
      </c>
      <c r="E317" s="1043" t="s">
        <v>216</v>
      </c>
      <c r="F317" s="1043"/>
      <c r="G317" s="1043"/>
      <c r="H317" s="1043" t="s">
        <v>217</v>
      </c>
      <c r="I317" s="1043"/>
      <c r="J317" s="1043"/>
      <c r="K317" s="1043" t="s">
        <v>218</v>
      </c>
      <c r="L317" s="1043"/>
      <c r="M317" s="1043"/>
    </row>
    <row r="318" spans="2:17">
      <c r="B318" s="1043"/>
      <c r="C318" s="1043"/>
      <c r="D318" s="1043"/>
      <c r="E318" s="1043" t="s">
        <v>422</v>
      </c>
      <c r="F318" s="1043" t="s">
        <v>310</v>
      </c>
      <c r="G318" s="1043" t="s">
        <v>250</v>
      </c>
      <c r="H318" s="1043" t="s">
        <v>422</v>
      </c>
      <c r="I318" s="57" t="s">
        <v>369</v>
      </c>
      <c r="J318" s="1043" t="s">
        <v>250</v>
      </c>
      <c r="K318" s="1043" t="s">
        <v>422</v>
      </c>
      <c r="L318" s="57" t="s">
        <v>369</v>
      </c>
      <c r="M318" s="1043" t="s">
        <v>250</v>
      </c>
    </row>
    <row r="319" spans="2:17">
      <c r="B319" s="1043"/>
      <c r="C319" s="1043"/>
      <c r="D319" s="1043"/>
      <c r="E319" s="1043"/>
      <c r="F319" s="1043"/>
      <c r="G319" s="1043"/>
      <c r="H319" s="1043"/>
      <c r="I319" s="57" t="s">
        <v>437</v>
      </c>
      <c r="J319" s="1043"/>
      <c r="K319" s="1043"/>
      <c r="L319" s="57" t="s">
        <v>437</v>
      </c>
      <c r="M319" s="1043"/>
    </row>
    <row r="320" spans="2:17" ht="25.5">
      <c r="B320" s="57">
        <v>1</v>
      </c>
      <c r="C320" s="73" t="s">
        <v>461</v>
      </c>
      <c r="D320" s="37" t="s">
        <v>454</v>
      </c>
      <c r="E320" s="37">
        <v>20</v>
      </c>
      <c r="F320" s="142">
        <v>0</v>
      </c>
      <c r="G320" s="142">
        <v>0</v>
      </c>
      <c r="H320" s="118">
        <v>0</v>
      </c>
      <c r="I320" s="118">
        <v>0</v>
      </c>
      <c r="J320" s="118">
        <v>0</v>
      </c>
      <c r="K320" s="118">
        <v>0</v>
      </c>
      <c r="L320" s="118">
        <v>0</v>
      </c>
      <c r="M320" s="118">
        <v>0</v>
      </c>
      <c r="Q320" s="142">
        <v>340900</v>
      </c>
    </row>
    <row r="321" spans="2:17">
      <c r="B321" s="138"/>
      <c r="C321" s="128" t="s">
        <v>257</v>
      </c>
      <c r="D321" s="138"/>
      <c r="E321" s="145">
        <f>SUM(E320:E320)</f>
        <v>20</v>
      </c>
      <c r="F321" s="37" t="s">
        <v>26</v>
      </c>
      <c r="G321" s="142">
        <f>G320</f>
        <v>0</v>
      </c>
      <c r="H321" s="37" t="s">
        <v>26</v>
      </c>
      <c r="I321" s="37" t="s">
        <v>26</v>
      </c>
      <c r="J321" s="37" t="s">
        <v>26</v>
      </c>
      <c r="K321" s="37" t="s">
        <v>26</v>
      </c>
      <c r="L321" s="37" t="s">
        <v>26</v>
      </c>
      <c r="M321" s="37" t="s">
        <v>26</v>
      </c>
    </row>
    <row r="323" spans="2:17">
      <c r="B323" s="110" t="s">
        <v>238</v>
      </c>
      <c r="C323" s="110"/>
      <c r="D323" s="110"/>
      <c r="E323" s="110"/>
      <c r="F323" s="110"/>
      <c r="G323" s="110"/>
      <c r="H323" s="110"/>
      <c r="I323" s="110"/>
      <c r="J323" s="110"/>
      <c r="K323" s="110"/>
      <c r="L323" s="110"/>
      <c r="M323" s="110"/>
    </row>
    <row r="324" spans="2:17">
      <c r="B324" s="116" t="s">
        <v>239</v>
      </c>
    </row>
    <row r="325" spans="2:17">
      <c r="B325" s="29" t="s">
        <v>463</v>
      </c>
    </row>
    <row r="326" spans="2:17" s="146" customFormat="1">
      <c r="B326" s="116" t="s">
        <v>460</v>
      </c>
      <c r="C326" s="29"/>
      <c r="D326" s="29"/>
      <c r="E326" s="29"/>
      <c r="F326" s="29"/>
      <c r="G326" s="29"/>
      <c r="H326" s="29"/>
      <c r="I326" s="29"/>
      <c r="J326" s="29"/>
      <c r="K326" s="29"/>
      <c r="L326" s="29"/>
      <c r="M326" s="29"/>
      <c r="N326" s="29"/>
      <c r="O326" s="29"/>
    </row>
    <row r="327" spans="2:17">
      <c r="B327" s="1043" t="s">
        <v>179</v>
      </c>
      <c r="C327" s="1043" t="s">
        <v>247</v>
      </c>
      <c r="D327" s="1043" t="s">
        <v>443</v>
      </c>
      <c r="E327" s="1043" t="s">
        <v>216</v>
      </c>
      <c r="F327" s="1043"/>
      <c r="G327" s="1043"/>
      <c r="H327" s="1043" t="s">
        <v>217</v>
      </c>
      <c r="I327" s="1043"/>
      <c r="J327" s="1043"/>
      <c r="K327" s="1043" t="s">
        <v>218</v>
      </c>
      <c r="L327" s="1043"/>
      <c r="M327" s="1043"/>
    </row>
    <row r="328" spans="2:17">
      <c r="B328" s="1043"/>
      <c r="C328" s="1043"/>
      <c r="D328" s="1043"/>
      <c r="E328" s="1043" t="s">
        <v>422</v>
      </c>
      <c r="F328" s="1113" t="s">
        <v>310</v>
      </c>
      <c r="G328" s="1113" t="s">
        <v>250</v>
      </c>
      <c r="H328" s="1113" t="s">
        <v>422</v>
      </c>
      <c r="I328" s="57" t="s">
        <v>369</v>
      </c>
      <c r="J328" s="1043" t="s">
        <v>250</v>
      </c>
      <c r="K328" s="1043" t="s">
        <v>422</v>
      </c>
      <c r="L328" s="57" t="s">
        <v>369</v>
      </c>
      <c r="M328" s="1043" t="s">
        <v>250</v>
      </c>
    </row>
    <row r="329" spans="2:17">
      <c r="B329" s="1043"/>
      <c r="C329" s="1043"/>
      <c r="D329" s="1043"/>
      <c r="E329" s="1043"/>
      <c r="F329" s="1113"/>
      <c r="G329" s="1113"/>
      <c r="H329" s="1113"/>
      <c r="I329" s="57" t="s">
        <v>437</v>
      </c>
      <c r="J329" s="1043"/>
      <c r="K329" s="1043"/>
      <c r="L329" s="57" t="s">
        <v>437</v>
      </c>
      <c r="M329" s="1043"/>
    </row>
    <row r="330" spans="2:17" ht="25.5">
      <c r="B330" s="57">
        <v>1</v>
      </c>
      <c r="C330" s="73" t="s">
        <v>461</v>
      </c>
      <c r="D330" s="37" t="s">
        <v>454</v>
      </c>
      <c r="E330" s="37">
        <v>25</v>
      </c>
      <c r="F330" s="278">
        <v>0</v>
      </c>
      <c r="G330" s="278">
        <v>0</v>
      </c>
      <c r="H330" s="258">
        <v>0</v>
      </c>
      <c r="I330" s="118">
        <v>0</v>
      </c>
      <c r="J330" s="118">
        <v>0</v>
      </c>
      <c r="K330" s="118">
        <v>0</v>
      </c>
      <c r="L330" s="118">
        <v>0</v>
      </c>
      <c r="M330" s="118">
        <v>0</v>
      </c>
      <c r="Q330" s="142">
        <v>795400</v>
      </c>
    </row>
    <row r="331" spans="2:17">
      <c r="B331" s="138"/>
      <c r="C331" s="128" t="s">
        <v>257</v>
      </c>
      <c r="D331" s="138"/>
      <c r="E331" s="145">
        <f>SUM(E330:E330)</f>
        <v>25</v>
      </c>
      <c r="F331" s="292" t="s">
        <v>26</v>
      </c>
      <c r="G331" s="278">
        <f>SUM(G330:G330)</f>
        <v>0</v>
      </c>
      <c r="H331" s="292" t="s">
        <v>26</v>
      </c>
      <c r="I331" s="37" t="s">
        <v>26</v>
      </c>
      <c r="J331" s="37" t="s">
        <v>26</v>
      </c>
      <c r="K331" s="37" t="s">
        <v>26</v>
      </c>
      <c r="L331" s="37" t="s">
        <v>26</v>
      </c>
      <c r="M331" s="37" t="s">
        <v>26</v>
      </c>
    </row>
    <row r="332" spans="2:17">
      <c r="C332" s="131"/>
      <c r="E332" s="147"/>
      <c r="F332" s="30"/>
      <c r="G332" s="133"/>
      <c r="H332" s="30"/>
      <c r="I332" s="30"/>
      <c r="J332" s="30"/>
      <c r="K332" s="30"/>
      <c r="L332" s="30"/>
      <c r="M332" s="30"/>
      <c r="Q332" t="s">
        <v>464</v>
      </c>
    </row>
    <row r="333" spans="2:17">
      <c r="B333" s="146" t="s">
        <v>246</v>
      </c>
      <c r="C333" s="146"/>
      <c r="D333" s="146"/>
      <c r="E333" s="146"/>
      <c r="F333" s="146"/>
      <c r="G333" s="146"/>
      <c r="H333" s="146"/>
      <c r="I333" s="146"/>
      <c r="J333" s="146"/>
      <c r="K333" s="146"/>
      <c r="L333" s="146"/>
      <c r="M333" s="146"/>
    </row>
    <row r="334" spans="2:17">
      <c r="B334" s="29" t="s">
        <v>242</v>
      </c>
    </row>
    <row r="335" spans="2:17">
      <c r="B335" s="29" t="s">
        <v>530</v>
      </c>
    </row>
    <row r="336" spans="2:17" s="146" customFormat="1">
      <c r="B336" s="116" t="s">
        <v>531</v>
      </c>
      <c r="C336" s="29"/>
      <c r="D336" s="29"/>
      <c r="E336" s="29"/>
      <c r="F336" s="29"/>
      <c r="G336" s="29"/>
      <c r="H336" s="29"/>
      <c r="I336" s="29"/>
      <c r="J336" s="29"/>
      <c r="K336" s="29"/>
      <c r="L336" s="29"/>
      <c r="M336" s="29"/>
      <c r="N336" s="29"/>
      <c r="O336" s="29"/>
    </row>
    <row r="337" spans="2:17">
      <c r="B337" s="1043" t="s">
        <v>179</v>
      </c>
      <c r="C337" s="1043" t="s">
        <v>247</v>
      </c>
      <c r="D337" s="1043" t="s">
        <v>443</v>
      </c>
      <c r="E337" s="1043" t="s">
        <v>216</v>
      </c>
      <c r="F337" s="1043"/>
      <c r="G337" s="1043"/>
      <c r="H337" s="1043" t="s">
        <v>217</v>
      </c>
      <c r="I337" s="1043"/>
      <c r="J337" s="1043"/>
      <c r="K337" s="1043" t="s">
        <v>218</v>
      </c>
      <c r="L337" s="1043"/>
      <c r="M337" s="1043"/>
    </row>
    <row r="338" spans="2:17">
      <c r="B338" s="1043"/>
      <c r="C338" s="1043"/>
      <c r="D338" s="1043"/>
      <c r="E338" s="1043" t="s">
        <v>422</v>
      </c>
      <c r="F338" s="1043" t="s">
        <v>310</v>
      </c>
      <c r="G338" s="1043" t="s">
        <v>250</v>
      </c>
      <c r="H338" s="1043" t="s">
        <v>422</v>
      </c>
      <c r="I338" s="57" t="s">
        <v>369</v>
      </c>
      <c r="J338" s="1043" t="s">
        <v>250</v>
      </c>
      <c r="K338" s="1043" t="s">
        <v>422</v>
      </c>
      <c r="L338" s="57" t="s">
        <v>369</v>
      </c>
      <c r="M338" s="1043" t="s">
        <v>250</v>
      </c>
    </row>
    <row r="339" spans="2:17">
      <c r="B339" s="1043"/>
      <c r="C339" s="1043"/>
      <c r="D339" s="1043"/>
      <c r="E339" s="1043"/>
      <c r="F339" s="1043"/>
      <c r="G339" s="1043"/>
      <c r="H339" s="1043"/>
      <c r="I339" s="57" t="s">
        <v>437</v>
      </c>
      <c r="J339" s="1043"/>
      <c r="K339" s="1043"/>
      <c r="L339" s="57" t="s">
        <v>437</v>
      </c>
      <c r="M339" s="1043"/>
    </row>
    <row r="340" spans="2:17" s="259" customFormat="1" ht="38.25">
      <c r="B340" s="257">
        <v>1</v>
      </c>
      <c r="C340" s="257" t="s">
        <v>535</v>
      </c>
      <c r="D340" s="260" t="s">
        <v>454</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536</v>
      </c>
      <c r="D341" s="260" t="s">
        <v>454</v>
      </c>
      <c r="E341" s="260">
        <v>391</v>
      </c>
      <c r="F341" s="137">
        <f t="shared" si="16"/>
        <v>0</v>
      </c>
      <c r="G341" s="261">
        <v>0</v>
      </c>
      <c r="H341" s="258">
        <v>0</v>
      </c>
      <c r="I341" s="258">
        <v>0</v>
      </c>
      <c r="J341" s="258">
        <v>0</v>
      </c>
      <c r="K341" s="258">
        <v>0</v>
      </c>
      <c r="L341" s="258">
        <v>0</v>
      </c>
      <c r="M341" s="258">
        <v>0</v>
      </c>
    </row>
    <row r="342" spans="2:17" s="259" customFormat="1" ht="38.25">
      <c r="B342" s="257">
        <v>3</v>
      </c>
      <c r="C342" s="257" t="s">
        <v>537</v>
      </c>
      <c r="D342" s="260" t="s">
        <v>454</v>
      </c>
      <c r="E342" s="260">
        <v>755</v>
      </c>
      <c r="F342" s="137">
        <f t="shared" si="16"/>
        <v>0</v>
      </c>
      <c r="G342" s="261">
        <v>0</v>
      </c>
      <c r="H342" s="258">
        <v>0</v>
      </c>
      <c r="I342" s="258">
        <v>0</v>
      </c>
      <c r="J342" s="258">
        <v>0</v>
      </c>
      <c r="K342" s="258">
        <v>0</v>
      </c>
      <c r="L342" s="258">
        <v>0</v>
      </c>
      <c r="M342" s="258">
        <v>0</v>
      </c>
    </row>
    <row r="343" spans="2:17" ht="25.5">
      <c r="B343" s="253">
        <v>4</v>
      </c>
      <c r="C343" s="253" t="s">
        <v>466</v>
      </c>
      <c r="D343" s="127" t="s">
        <v>454</v>
      </c>
      <c r="E343" s="127">
        <f>45+2</f>
        <v>47</v>
      </c>
      <c r="F343" s="137">
        <f t="shared" si="16"/>
        <v>0</v>
      </c>
      <c r="G343" s="137">
        <v>0</v>
      </c>
      <c r="H343" s="118">
        <v>0</v>
      </c>
      <c r="I343" s="118">
        <v>0</v>
      </c>
      <c r="J343" s="118">
        <v>0</v>
      </c>
      <c r="K343" s="118">
        <v>0</v>
      </c>
      <c r="L343" s="118">
        <v>0</v>
      </c>
      <c r="M343" s="118">
        <v>0</v>
      </c>
    </row>
    <row r="344" spans="2:17">
      <c r="B344" s="138"/>
      <c r="C344" s="128" t="s">
        <v>257</v>
      </c>
      <c r="D344" s="138"/>
      <c r="E344" s="145" t="s">
        <v>26</v>
      </c>
      <c r="F344" s="37" t="s">
        <v>26</v>
      </c>
      <c r="G344" s="142">
        <f>SUM(G340:G343)</f>
        <v>0</v>
      </c>
      <c r="H344" s="37" t="s">
        <v>26</v>
      </c>
      <c r="I344" s="37" t="s">
        <v>26</v>
      </c>
      <c r="J344" s="142">
        <f>SUM(J340:J343)</f>
        <v>0</v>
      </c>
      <c r="K344" s="37" t="s">
        <v>26</v>
      </c>
      <c r="L344" s="37" t="s">
        <v>26</v>
      </c>
      <c r="M344" s="142">
        <f>SUM(M340:M343)</f>
        <v>0</v>
      </c>
    </row>
    <row r="345" spans="2:17">
      <c r="C345" s="131"/>
      <c r="E345" s="147"/>
      <c r="F345" s="30"/>
      <c r="G345" s="133"/>
      <c r="H345" s="30"/>
      <c r="I345" s="30"/>
      <c r="J345" s="30"/>
      <c r="K345" s="30"/>
      <c r="L345" s="30"/>
      <c r="M345" s="30"/>
      <c r="Q345" t="s">
        <v>467</v>
      </c>
    </row>
    <row r="346" spans="2:17">
      <c r="B346" s="622" t="s">
        <v>243</v>
      </c>
      <c r="C346" s="622"/>
      <c r="D346" s="622"/>
      <c r="E346" s="622"/>
      <c r="F346" s="622"/>
      <c r="G346" s="622"/>
      <c r="H346" s="622"/>
      <c r="I346" s="622"/>
      <c r="J346" s="622"/>
      <c r="K346" s="622"/>
      <c r="L346" s="622"/>
      <c r="M346" s="622"/>
    </row>
    <row r="347" spans="2:17">
      <c r="B347" s="312" t="s">
        <v>244</v>
      </c>
      <c r="C347" s="312"/>
      <c r="D347" s="312"/>
      <c r="E347" s="312"/>
      <c r="F347" s="312"/>
      <c r="G347" s="312"/>
      <c r="H347" s="312"/>
      <c r="I347" s="312"/>
      <c r="J347" s="312"/>
      <c r="K347" s="312"/>
      <c r="L347" s="312"/>
      <c r="M347" s="312"/>
    </row>
    <row r="348" spans="2:17">
      <c r="B348" s="312" t="s">
        <v>245</v>
      </c>
      <c r="C348" s="312"/>
      <c r="D348" s="312"/>
      <c r="E348" s="312"/>
      <c r="F348" s="312"/>
      <c r="G348" s="312"/>
      <c r="H348" s="312"/>
      <c r="I348" s="312"/>
      <c r="J348" s="312"/>
      <c r="K348" s="312"/>
      <c r="L348" s="312"/>
      <c r="M348" s="312"/>
    </row>
    <row r="349" spans="2:17" s="120" customFormat="1">
      <c r="B349" s="312" t="s">
        <v>678</v>
      </c>
      <c r="C349" s="312"/>
      <c r="D349" s="312"/>
      <c r="E349" s="312"/>
      <c r="F349" s="312"/>
      <c r="G349" s="312"/>
      <c r="H349" s="312"/>
      <c r="I349" s="312"/>
      <c r="J349" s="312"/>
      <c r="K349" s="312"/>
      <c r="L349" s="312"/>
      <c r="M349" s="312"/>
    </row>
    <row r="350" spans="2:17">
      <c r="B350" s="623" t="s">
        <v>465</v>
      </c>
      <c r="C350" s="312"/>
      <c r="D350" s="312"/>
      <c r="E350" s="312"/>
      <c r="F350" s="312"/>
      <c r="G350" s="312"/>
      <c r="H350" s="312"/>
      <c r="I350" s="312"/>
      <c r="J350" s="312"/>
      <c r="K350" s="312"/>
      <c r="L350" s="312"/>
      <c r="M350" s="312"/>
    </row>
    <row r="351" spans="2:17">
      <c r="B351" s="1087" t="s">
        <v>179</v>
      </c>
      <c r="C351" s="1087" t="s">
        <v>247</v>
      </c>
      <c r="D351" s="1087" t="s">
        <v>443</v>
      </c>
      <c r="E351" s="1087" t="s">
        <v>562</v>
      </c>
      <c r="F351" s="1087"/>
      <c r="G351" s="1087"/>
      <c r="H351" s="1087" t="s">
        <v>563</v>
      </c>
      <c r="I351" s="1087"/>
      <c r="J351" s="1087"/>
      <c r="K351" s="1087" t="s">
        <v>564</v>
      </c>
      <c r="L351" s="1087"/>
      <c r="M351" s="1087"/>
    </row>
    <row r="352" spans="2:17">
      <c r="B352" s="1087"/>
      <c r="C352" s="1087"/>
      <c r="D352" s="1087"/>
      <c r="E352" s="1087" t="s">
        <v>422</v>
      </c>
      <c r="F352" s="1087" t="s">
        <v>310</v>
      </c>
      <c r="G352" s="1087" t="s">
        <v>250</v>
      </c>
      <c r="H352" s="1087" t="s">
        <v>422</v>
      </c>
      <c r="I352" s="619" t="s">
        <v>369</v>
      </c>
      <c r="J352" s="1087" t="s">
        <v>250</v>
      </c>
      <c r="K352" s="1087" t="s">
        <v>422</v>
      </c>
      <c r="L352" s="619" t="s">
        <v>369</v>
      </c>
      <c r="M352" s="1087" t="s">
        <v>250</v>
      </c>
    </row>
    <row r="353" spans="2:13">
      <c r="B353" s="1087"/>
      <c r="C353" s="1087"/>
      <c r="D353" s="1087"/>
      <c r="E353" s="1087"/>
      <c r="F353" s="1087"/>
      <c r="G353" s="1087"/>
      <c r="H353" s="1087"/>
      <c r="I353" s="619" t="s">
        <v>437</v>
      </c>
      <c r="J353" s="1087"/>
      <c r="K353" s="1087"/>
      <c r="L353" s="619" t="s">
        <v>437</v>
      </c>
      <c r="M353" s="1087"/>
    </row>
    <row r="354" spans="2:13" ht="25.5">
      <c r="B354" s="619">
        <v>1</v>
      </c>
      <c r="C354" s="321" t="s">
        <v>663</v>
      </c>
      <c r="D354" s="323" t="s">
        <v>468</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664</v>
      </c>
      <c r="D355" s="323" t="s">
        <v>468</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665</v>
      </c>
      <c r="D356" s="323" t="s">
        <v>468</v>
      </c>
      <c r="E356" s="323">
        <v>1</v>
      </c>
      <c r="F356" s="325">
        <f t="shared" si="16"/>
        <v>24650</v>
      </c>
      <c r="G356" s="325">
        <v>24650</v>
      </c>
      <c r="H356" s="624">
        <v>0</v>
      </c>
      <c r="I356" s="624">
        <v>0</v>
      </c>
      <c r="J356" s="624">
        <v>0</v>
      </c>
      <c r="K356" s="624">
        <v>0</v>
      </c>
      <c r="L356" s="624">
        <v>0</v>
      </c>
      <c r="M356" s="624">
        <v>0</v>
      </c>
    </row>
    <row r="357" spans="2:13" s="120" customFormat="1">
      <c r="B357" s="619">
        <v>4</v>
      </c>
      <c r="C357" s="321" t="s">
        <v>666</v>
      </c>
      <c r="D357" s="323" t="s">
        <v>468</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667</v>
      </c>
      <c r="D358" s="323" t="s">
        <v>468</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668</v>
      </c>
      <c r="D359" s="323" t="s">
        <v>468</v>
      </c>
      <c r="E359" s="323" t="s">
        <v>26</v>
      </c>
      <c r="F359" s="325" t="s">
        <v>26</v>
      </c>
      <c r="G359" s="325">
        <f>SUM(G360:G363)</f>
        <v>563600</v>
      </c>
      <c r="H359" s="624">
        <v>0</v>
      </c>
      <c r="I359" s="624">
        <v>0</v>
      </c>
      <c r="J359" s="624">
        <v>0</v>
      </c>
      <c r="K359" s="624">
        <v>0</v>
      </c>
      <c r="L359" s="624">
        <v>0</v>
      </c>
      <c r="M359" s="624">
        <v>0</v>
      </c>
    </row>
    <row r="360" spans="2:13" s="120" customFormat="1" ht="38.25">
      <c r="B360" s="625" t="s">
        <v>673</v>
      </c>
      <c r="C360" s="626" t="s">
        <v>669</v>
      </c>
      <c r="D360" s="627" t="s">
        <v>468</v>
      </c>
      <c r="E360" s="627">
        <v>1</v>
      </c>
      <c r="F360" s="628">
        <f t="shared" si="16"/>
        <v>105000</v>
      </c>
      <c r="G360" s="628">
        <v>105000</v>
      </c>
      <c r="H360" s="624">
        <v>0</v>
      </c>
      <c r="I360" s="624">
        <v>0</v>
      </c>
      <c r="J360" s="624">
        <v>0</v>
      </c>
      <c r="K360" s="624">
        <v>0</v>
      </c>
      <c r="L360" s="624">
        <v>0</v>
      </c>
      <c r="M360" s="624">
        <v>0</v>
      </c>
    </row>
    <row r="361" spans="2:13" s="120" customFormat="1" ht="38.25">
      <c r="B361" s="626" t="s">
        <v>674</v>
      </c>
      <c r="C361" s="626" t="s">
        <v>670</v>
      </c>
      <c r="D361" s="627" t="s">
        <v>468</v>
      </c>
      <c r="E361" s="627">
        <v>1</v>
      </c>
      <c r="F361" s="628">
        <f t="shared" si="16"/>
        <v>113000</v>
      </c>
      <c r="G361" s="628">
        <v>113000</v>
      </c>
      <c r="H361" s="624">
        <v>0</v>
      </c>
      <c r="I361" s="624">
        <v>0</v>
      </c>
      <c r="J361" s="624">
        <v>0</v>
      </c>
      <c r="K361" s="624">
        <v>0</v>
      </c>
      <c r="L361" s="624">
        <v>0</v>
      </c>
      <c r="M361" s="624">
        <v>0</v>
      </c>
    </row>
    <row r="362" spans="2:13" s="120" customFormat="1" ht="38.25">
      <c r="B362" s="626" t="s">
        <v>675</v>
      </c>
      <c r="C362" s="626" t="s">
        <v>671</v>
      </c>
      <c r="D362" s="627" t="s">
        <v>468</v>
      </c>
      <c r="E362" s="627">
        <v>2</v>
      </c>
      <c r="F362" s="628">
        <f t="shared" si="16"/>
        <v>118000</v>
      </c>
      <c r="G362" s="628">
        <v>236000</v>
      </c>
      <c r="H362" s="624">
        <v>0</v>
      </c>
      <c r="I362" s="624">
        <v>0</v>
      </c>
      <c r="J362" s="624">
        <v>0</v>
      </c>
      <c r="K362" s="624">
        <v>0</v>
      </c>
      <c r="L362" s="624">
        <v>0</v>
      </c>
      <c r="M362" s="624">
        <v>0</v>
      </c>
    </row>
    <row r="363" spans="2:13" s="120" customFormat="1" ht="38.25">
      <c r="B363" s="626" t="s">
        <v>676</v>
      </c>
      <c r="C363" s="626" t="s">
        <v>672</v>
      </c>
      <c r="D363" s="627" t="s">
        <v>468</v>
      </c>
      <c r="E363" s="627">
        <v>1</v>
      </c>
      <c r="F363" s="628">
        <f t="shared" si="16"/>
        <v>109600</v>
      </c>
      <c r="G363" s="628">
        <v>109600</v>
      </c>
      <c r="H363" s="624">
        <v>0</v>
      </c>
      <c r="I363" s="624">
        <v>0</v>
      </c>
      <c r="J363" s="624">
        <v>0</v>
      </c>
      <c r="K363" s="624">
        <v>0</v>
      </c>
      <c r="L363" s="624">
        <v>0</v>
      </c>
      <c r="M363" s="624">
        <v>0</v>
      </c>
    </row>
    <row r="364" spans="2:13" s="618" customFormat="1" ht="14.25">
      <c r="B364" s="629" t="s">
        <v>26</v>
      </c>
      <c r="C364" s="630" t="s">
        <v>257</v>
      </c>
      <c r="D364" s="629" t="s">
        <v>26</v>
      </c>
      <c r="E364" s="631">
        <f>SUM(E353:E354)</f>
        <v>10</v>
      </c>
      <c r="F364" s="629" t="s">
        <v>26</v>
      </c>
      <c r="G364" s="632">
        <f>G354+G355+G356+G357+G358+G359</f>
        <v>813930</v>
      </c>
      <c r="H364" s="629" t="s">
        <v>26</v>
      </c>
      <c r="I364" s="629" t="s">
        <v>26</v>
      </c>
      <c r="J364" s="633">
        <f>J363</f>
        <v>0</v>
      </c>
      <c r="K364" s="629" t="s">
        <v>26</v>
      </c>
      <c r="L364" s="629" t="s">
        <v>26</v>
      </c>
      <c r="M364" s="633">
        <f>M363</f>
        <v>0</v>
      </c>
    </row>
    <row r="366" spans="2:13">
      <c r="B366" s="114" t="s">
        <v>243</v>
      </c>
      <c r="C366" s="114"/>
      <c r="D366" s="114"/>
      <c r="E366" s="114"/>
      <c r="F366" s="114"/>
      <c r="G366" s="114"/>
      <c r="H366" s="114"/>
      <c r="I366" s="114"/>
      <c r="J366" s="114"/>
      <c r="K366" s="114"/>
      <c r="L366" s="114"/>
      <c r="M366" s="114"/>
    </row>
    <row r="367" spans="2:13">
      <c r="B367" s="116" t="s">
        <v>244</v>
      </c>
    </row>
    <row r="368" spans="2:13">
      <c r="B368" s="29" t="s">
        <v>245</v>
      </c>
    </row>
    <row r="369" spans="2:13">
      <c r="B369" s="116" t="s">
        <v>252</v>
      </c>
    </row>
    <row r="370" spans="2:13">
      <c r="B370" s="1043" t="s">
        <v>179</v>
      </c>
      <c r="C370" s="1043" t="s">
        <v>247</v>
      </c>
      <c r="D370" s="1043" t="s">
        <v>443</v>
      </c>
      <c r="E370" s="1043" t="s">
        <v>216</v>
      </c>
      <c r="F370" s="1043"/>
      <c r="G370" s="1043"/>
      <c r="H370" s="1043" t="s">
        <v>217</v>
      </c>
      <c r="I370" s="1043"/>
      <c r="J370" s="1043"/>
      <c r="K370" s="1043" t="s">
        <v>218</v>
      </c>
      <c r="L370" s="1043"/>
      <c r="M370" s="1043"/>
    </row>
    <row r="371" spans="2:13">
      <c r="B371" s="1043"/>
      <c r="C371" s="1043"/>
      <c r="D371" s="1043"/>
      <c r="E371" s="1043" t="s">
        <v>422</v>
      </c>
      <c r="F371" s="1043" t="s">
        <v>310</v>
      </c>
      <c r="G371" s="1043" t="s">
        <v>250</v>
      </c>
      <c r="H371" s="1043" t="s">
        <v>422</v>
      </c>
      <c r="I371" s="57" t="s">
        <v>369</v>
      </c>
      <c r="J371" s="1043" t="s">
        <v>250</v>
      </c>
      <c r="K371" s="1043" t="s">
        <v>422</v>
      </c>
      <c r="L371" s="57" t="s">
        <v>369</v>
      </c>
      <c r="M371" s="1043" t="s">
        <v>250</v>
      </c>
    </row>
    <row r="372" spans="2:13">
      <c r="B372" s="1043"/>
      <c r="C372" s="1043"/>
      <c r="D372" s="1043"/>
      <c r="E372" s="1043"/>
      <c r="F372" s="1043"/>
      <c r="G372" s="1043"/>
      <c r="H372" s="1043"/>
      <c r="I372" s="57" t="s">
        <v>437</v>
      </c>
      <c r="J372" s="1043"/>
      <c r="K372" s="1043"/>
      <c r="L372" s="57" t="s">
        <v>437</v>
      </c>
      <c r="M372" s="1043"/>
    </row>
    <row r="373" spans="2:13" ht="25.5">
      <c r="B373" s="308">
        <v>1</v>
      </c>
      <c r="C373" s="327" t="s">
        <v>647</v>
      </c>
      <c r="D373" s="328" t="s">
        <v>454</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543</v>
      </c>
      <c r="D374" s="328" t="s">
        <v>454</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469</v>
      </c>
      <c r="D375" s="328" t="s">
        <v>454</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587</v>
      </c>
      <c r="D376" s="328" t="s">
        <v>454</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648</v>
      </c>
      <c r="D377" s="328"/>
      <c r="E377" s="328" t="s">
        <v>26</v>
      </c>
      <c r="F377" s="329" t="s">
        <v>26</v>
      </c>
      <c r="G377" s="326">
        <v>286260.94</v>
      </c>
      <c r="H377" s="328" t="s">
        <v>26</v>
      </c>
      <c r="I377" s="329" t="s">
        <v>26</v>
      </c>
      <c r="J377" s="330">
        <v>286260.94</v>
      </c>
      <c r="K377" s="328" t="s">
        <v>26</v>
      </c>
      <c r="L377" s="329" t="s">
        <v>26</v>
      </c>
      <c r="M377" s="330">
        <v>286260.94</v>
      </c>
    </row>
    <row r="378" spans="2:13" s="120" customFormat="1" ht="38.25">
      <c r="B378" s="308">
        <v>4</v>
      </c>
      <c r="C378" s="327" t="s">
        <v>649</v>
      </c>
      <c r="D378" s="328" t="s">
        <v>454</v>
      </c>
      <c r="E378" s="328" t="s">
        <v>26</v>
      </c>
      <c r="F378" s="328" t="s">
        <v>26</v>
      </c>
      <c r="G378" s="326">
        <v>246902.68</v>
      </c>
      <c r="H378" s="328" t="s">
        <v>26</v>
      </c>
      <c r="I378" s="328" t="s">
        <v>26</v>
      </c>
      <c r="J378" s="330">
        <v>246902.68</v>
      </c>
      <c r="K378" s="328" t="s">
        <v>26</v>
      </c>
      <c r="L378" s="328" t="s">
        <v>26</v>
      </c>
      <c r="M378" s="330">
        <v>246902.68</v>
      </c>
    </row>
    <row r="379" spans="2:13" s="120" customFormat="1" ht="38.25">
      <c r="B379" s="308"/>
      <c r="C379" s="327" t="s">
        <v>650</v>
      </c>
      <c r="D379" s="328"/>
      <c r="E379" s="328" t="s">
        <v>26</v>
      </c>
      <c r="F379" s="328" t="s">
        <v>26</v>
      </c>
      <c r="G379" s="326">
        <v>29911.9</v>
      </c>
      <c r="H379" s="328" t="s">
        <v>26</v>
      </c>
      <c r="I379" s="328" t="s">
        <v>26</v>
      </c>
      <c r="J379" s="330">
        <v>29911.9</v>
      </c>
      <c r="K379" s="328" t="s">
        <v>26</v>
      </c>
      <c r="L379" s="328" t="s">
        <v>26</v>
      </c>
      <c r="M379" s="330">
        <v>29911.9</v>
      </c>
    </row>
    <row r="380" spans="2:13" ht="38.25">
      <c r="B380" s="57">
        <v>5</v>
      </c>
      <c r="C380" s="73" t="s">
        <v>470</v>
      </c>
      <c r="D380" s="37" t="s">
        <v>471</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584</v>
      </c>
      <c r="D381" s="37" t="s">
        <v>472</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585</v>
      </c>
      <c r="D382" s="323" t="s">
        <v>472</v>
      </c>
      <c r="E382" s="323">
        <v>191</v>
      </c>
      <c r="F382" s="324">
        <v>270</v>
      </c>
      <c r="G382" s="325">
        <v>51570</v>
      </c>
      <c r="H382" s="323">
        <v>191</v>
      </c>
      <c r="I382" s="324">
        <v>270</v>
      </c>
      <c r="J382" s="325">
        <v>51570</v>
      </c>
      <c r="K382" s="323">
        <v>191</v>
      </c>
      <c r="L382" s="324">
        <v>270</v>
      </c>
      <c r="M382" s="325">
        <v>51570</v>
      </c>
    </row>
    <row r="383" spans="2:13" ht="51">
      <c r="B383" s="57">
        <v>9</v>
      </c>
      <c r="C383" s="73" t="s">
        <v>586</v>
      </c>
      <c r="D383" s="37" t="s">
        <v>472</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257</v>
      </c>
      <c r="D384" s="138" t="s">
        <v>26</v>
      </c>
      <c r="E384" s="37" t="s">
        <v>26</v>
      </c>
      <c r="F384" s="37" t="s">
        <v>26</v>
      </c>
      <c r="G384" s="142">
        <f>SUM(G373:G383)</f>
        <v>952152.01</v>
      </c>
      <c r="H384" s="37" t="s">
        <v>26</v>
      </c>
      <c r="I384" s="37" t="s">
        <v>26</v>
      </c>
      <c r="J384" s="142">
        <f>SUM(J373:J383)</f>
        <v>1842155.6</v>
      </c>
      <c r="K384" s="37" t="s">
        <v>26</v>
      </c>
      <c r="L384" s="37" t="s">
        <v>26</v>
      </c>
      <c r="M384" s="142">
        <f>SUM(M373:M383)</f>
        <v>1841967.57</v>
      </c>
    </row>
    <row r="386" spans="2:16" ht="18.75">
      <c r="E386" s="148"/>
      <c r="G386" s="148"/>
      <c r="H386" s="148"/>
      <c r="K386" s="148"/>
    </row>
    <row r="387" spans="2:16" ht="18.75">
      <c r="B387" s="1100" t="s">
        <v>473</v>
      </c>
      <c r="C387" s="1100"/>
      <c r="D387" s="1100"/>
      <c r="E387" s="1100"/>
      <c r="F387" s="1100"/>
      <c r="G387" s="1101" t="s">
        <v>311</v>
      </c>
      <c r="H387" s="1101"/>
      <c r="I387" s="1101"/>
      <c r="J387" s="150"/>
      <c r="K387" s="151"/>
      <c r="L387" s="150"/>
      <c r="M387" s="150"/>
    </row>
    <row r="388" spans="2:16">
      <c r="B388" s="1100"/>
      <c r="C388" s="1100"/>
      <c r="D388" s="1100"/>
      <c r="E388" s="1100"/>
      <c r="F388" s="1100"/>
      <c r="G388" s="149" t="s">
        <v>474</v>
      </c>
      <c r="H388" s="149" t="s">
        <v>475</v>
      </c>
      <c r="I388" s="149" t="s">
        <v>545</v>
      </c>
      <c r="J388" s="150"/>
      <c r="K388" s="150"/>
      <c r="L388" s="150"/>
      <c r="M388" s="150"/>
    </row>
    <row r="389" spans="2:16">
      <c r="B389" s="1102" t="s">
        <v>476</v>
      </c>
      <c r="C389" s="1102"/>
      <c r="D389" s="1102"/>
      <c r="E389" s="1102"/>
      <c r="F389" s="1102"/>
      <c r="G389" s="152" t="e">
        <f>#REF!+#REF!+#REF!+'Лист12(224,225,226,310,342-349'!G126+'Лист12(224,225,226,310,342-349'!G153+G290+G344+G364+#REF!+G301</f>
        <v>#REF!</v>
      </c>
      <c r="H389" s="153" t="e">
        <f>#REF!</f>
        <v>#REF!</v>
      </c>
      <c r="I389" s="153" t="e">
        <f>#REF!</f>
        <v>#REF!</v>
      </c>
      <c r="J389" s="150"/>
      <c r="K389" s="150"/>
      <c r="L389" s="150"/>
      <c r="M389" s="150"/>
      <c r="P389" s="150" t="s">
        <v>477</v>
      </c>
    </row>
    <row r="390" spans="2:16">
      <c r="B390" s="1103" t="s">
        <v>478</v>
      </c>
      <c r="C390" s="1104"/>
      <c r="D390" s="1104"/>
      <c r="E390" s="1104"/>
      <c r="F390" s="1105"/>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06" t="s">
        <v>479</v>
      </c>
      <c r="C391" s="1107"/>
      <c r="D391" s="1107"/>
      <c r="E391" s="1107"/>
      <c r="F391" s="1108"/>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09" t="s">
        <v>257</v>
      </c>
      <c r="C392" s="1110"/>
      <c r="D392" s="1110"/>
      <c r="E392" s="1110"/>
      <c r="F392" s="1111"/>
      <c r="G392" s="155" t="e">
        <f>SUM(G389:G391)</f>
        <v>#REF!</v>
      </c>
      <c r="H392" s="155" t="e">
        <f>SUM(H389:H391)</f>
        <v>#REF!</v>
      </c>
      <c r="I392" s="155" t="e">
        <f>SUM(I389:I391)</f>
        <v>#REF!</v>
      </c>
      <c r="J392" s="150"/>
      <c r="K392" s="150"/>
      <c r="L392" s="150"/>
      <c r="M392" s="150"/>
    </row>
    <row r="393" spans="2:16">
      <c r="G393" s="132"/>
      <c r="H393" s="132"/>
      <c r="I393" s="132"/>
    </row>
    <row r="394" spans="2:16" ht="18.75">
      <c r="E394" s="148" t="s">
        <v>104</v>
      </c>
      <c r="G394" s="133"/>
      <c r="H394" s="156"/>
      <c r="K394" s="148" t="s">
        <v>560</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548</v>
      </c>
      <c r="G401" s="38">
        <v>61100227.68</v>
      </c>
    </row>
    <row r="402" spans="1:29">
      <c r="F402" s="29" t="s">
        <v>546</v>
      </c>
      <c r="G402" s="38">
        <v>12571648.619999999</v>
      </c>
    </row>
    <row r="403" spans="1:29">
      <c r="F403" s="29" t="s">
        <v>547</v>
      </c>
      <c r="G403" s="38">
        <v>-43.69</v>
      </c>
    </row>
    <row r="404" spans="1:29">
      <c r="G404" s="38">
        <f>G401+G402+G403</f>
        <v>73671832.609999999</v>
      </c>
      <c r="R404" s="1094" t="s">
        <v>596</v>
      </c>
      <c r="S404" s="1094"/>
      <c r="T404" s="1094"/>
      <c r="U404" s="1094"/>
      <c r="V404" s="1094"/>
      <c r="W404" s="1094"/>
      <c r="X404" s="1094"/>
      <c r="Y404" s="1094"/>
      <c r="Z404" s="1094"/>
      <c r="AA404" s="1094"/>
      <c r="AB404" s="1094"/>
      <c r="AC404" s="1094"/>
    </row>
    <row r="405" spans="1:29">
      <c r="G405" s="38" t="e">
        <f>G404-G390</f>
        <v>#REF!</v>
      </c>
      <c r="R405" s="1094"/>
      <c r="S405" s="1094"/>
      <c r="T405" s="1094"/>
      <c r="U405" s="1094"/>
      <c r="V405" s="1094"/>
      <c r="W405" s="1094"/>
      <c r="X405" s="1094"/>
      <c r="Y405" s="1094"/>
      <c r="Z405" s="1094"/>
      <c r="AA405" s="1094"/>
      <c r="AB405" s="1094"/>
      <c r="AC405" s="1094"/>
    </row>
    <row r="406" spans="1:29">
      <c r="D406" s="38">
        <f>F408+F416+F413+F415+F412</f>
        <v>1499293.9</v>
      </c>
      <c r="R406" s="1094"/>
      <c r="S406" s="1094"/>
      <c r="T406" s="1094"/>
      <c r="U406" s="1094"/>
      <c r="V406" s="1094"/>
      <c r="W406" s="1094"/>
      <c r="X406" s="1094"/>
      <c r="Y406" s="1094"/>
      <c r="Z406" s="1094"/>
      <c r="AA406" s="1094"/>
      <c r="AB406" s="1094"/>
      <c r="AC406" s="1094"/>
    </row>
    <row r="407" spans="1:29" ht="23.25">
      <c r="F407" s="8" t="s">
        <v>575</v>
      </c>
      <c r="G407" s="29" t="s">
        <v>571</v>
      </c>
      <c r="H407" s="138" t="s">
        <v>572</v>
      </c>
      <c r="I407" s="29">
        <v>2023</v>
      </c>
      <c r="J407" s="29">
        <v>2024</v>
      </c>
      <c r="U407" s="1095">
        <v>2022</v>
      </c>
      <c r="V407" s="1096"/>
      <c r="W407" s="1097"/>
      <c r="X407" s="1095">
        <v>2023</v>
      </c>
      <c r="Y407" s="1096"/>
      <c r="Z407" s="1097"/>
      <c r="AA407" s="1095">
        <v>2024</v>
      </c>
      <c r="AB407" s="1096"/>
      <c r="AC407" s="1097"/>
    </row>
    <row r="408" spans="1:29">
      <c r="A408" s="120" t="s">
        <v>590</v>
      </c>
      <c r="B408" s="29" t="s">
        <v>33</v>
      </c>
      <c r="C408" s="29" t="s">
        <v>549</v>
      </c>
      <c r="D408" s="29" t="s">
        <v>550</v>
      </c>
      <c r="E408" s="29" t="s">
        <v>34</v>
      </c>
      <c r="F408" s="283">
        <f>16000+6000+10000+20000+5000</f>
        <v>57000</v>
      </c>
      <c r="G408" s="29" t="e">
        <f>#REF!+#REF!+#REF!+#REF!+#REF!+#REF!+#REF!</f>
        <v>#REF!</v>
      </c>
      <c r="H408" s="343" t="e">
        <f>F408-G408</f>
        <v>#REF!</v>
      </c>
      <c r="I408" s="38"/>
      <c r="J408" s="38"/>
      <c r="P408" s="374" t="s">
        <v>590</v>
      </c>
      <c r="Q408" s="374" t="s">
        <v>33</v>
      </c>
      <c r="R408" s="374" t="s">
        <v>549</v>
      </c>
      <c r="S408" s="374" t="s">
        <v>550</v>
      </c>
      <c r="T408" s="374" t="s">
        <v>34</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591</v>
      </c>
      <c r="B409" s="29" t="s">
        <v>33</v>
      </c>
      <c r="C409" s="29" t="s">
        <v>551</v>
      </c>
      <c r="D409" s="29" t="s">
        <v>550</v>
      </c>
      <c r="E409" s="29" t="s">
        <v>34</v>
      </c>
      <c r="F409" s="379">
        <f>V455</f>
        <v>33377286.77</v>
      </c>
      <c r="G409" s="378" t="e">
        <f>#REF!</f>
        <v>#REF!</v>
      </c>
      <c r="H409" s="380" t="e">
        <f>F409-G409</f>
        <v>#REF!</v>
      </c>
      <c r="I409" s="38"/>
      <c r="J409" s="38"/>
      <c r="P409" s="374" t="s">
        <v>591</v>
      </c>
      <c r="Q409" s="374" t="s">
        <v>33</v>
      </c>
      <c r="R409" s="374" t="s">
        <v>551</v>
      </c>
      <c r="S409" s="374" t="s">
        <v>550</v>
      </c>
      <c r="T409" s="374" t="s">
        <v>34</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33</v>
      </c>
      <c r="C410" s="29" t="s">
        <v>552</v>
      </c>
      <c r="D410" s="29" t="s">
        <v>550</v>
      </c>
      <c r="E410" s="29" t="s">
        <v>34</v>
      </c>
      <c r="F410" s="379">
        <v>0</v>
      </c>
      <c r="G410" s="378">
        <v>0</v>
      </c>
      <c r="H410" s="381">
        <f t="shared" ref="H410:H437" si="28">F410-G410</f>
        <v>0</v>
      </c>
      <c r="I410" s="38"/>
      <c r="J410" s="38"/>
      <c r="P410" s="374"/>
      <c r="Q410" s="374" t="s">
        <v>33</v>
      </c>
      <c r="R410" s="374" t="s">
        <v>552</v>
      </c>
      <c r="S410" s="374" t="s">
        <v>550</v>
      </c>
      <c r="T410" s="374" t="s">
        <v>34</v>
      </c>
      <c r="U410" s="386">
        <f t="shared" si="25"/>
        <v>0</v>
      </c>
      <c r="V410" s="387">
        <v>0</v>
      </c>
      <c r="W410" s="388"/>
      <c r="X410" s="386">
        <f t="shared" si="26"/>
        <v>0</v>
      </c>
      <c r="Y410" s="387"/>
      <c r="Z410" s="388"/>
      <c r="AA410" s="386">
        <f t="shared" si="27"/>
        <v>0</v>
      </c>
      <c r="AB410" s="387"/>
      <c r="AC410" s="388"/>
    </row>
    <row r="411" spans="1:29">
      <c r="B411" s="29" t="s">
        <v>33</v>
      </c>
      <c r="C411" s="29" t="s">
        <v>553</v>
      </c>
      <c r="D411" s="29" t="s">
        <v>550</v>
      </c>
      <c r="E411" s="29" t="s">
        <v>34</v>
      </c>
      <c r="F411" s="379">
        <v>0</v>
      </c>
      <c r="G411" s="378">
        <v>0</v>
      </c>
      <c r="H411" s="382">
        <f t="shared" si="28"/>
        <v>0</v>
      </c>
      <c r="I411" s="38"/>
      <c r="J411" s="38"/>
      <c r="P411" s="374"/>
      <c r="Q411" s="374" t="s">
        <v>33</v>
      </c>
      <c r="R411" s="374" t="s">
        <v>553</v>
      </c>
      <c r="S411" s="374" t="s">
        <v>550</v>
      </c>
      <c r="T411" s="374" t="s">
        <v>34</v>
      </c>
      <c r="U411" s="386">
        <f t="shared" si="25"/>
        <v>0</v>
      </c>
      <c r="V411" s="387">
        <v>0</v>
      </c>
      <c r="W411" s="388"/>
      <c r="X411" s="386">
        <f t="shared" si="26"/>
        <v>0</v>
      </c>
      <c r="Y411" s="387"/>
      <c r="Z411" s="388"/>
      <c r="AA411" s="386">
        <f t="shared" si="27"/>
        <v>0</v>
      </c>
      <c r="AB411" s="387"/>
      <c r="AC411" s="388"/>
    </row>
    <row r="412" spans="1:29">
      <c r="A412" s="120" t="s">
        <v>594</v>
      </c>
      <c r="B412" s="29" t="s">
        <v>33</v>
      </c>
      <c r="C412" s="29" t="s">
        <v>549</v>
      </c>
      <c r="D412" s="29" t="s">
        <v>550</v>
      </c>
      <c r="E412" s="29" t="s">
        <v>35</v>
      </c>
      <c r="F412" s="283">
        <f>V458</f>
        <v>414998.65</v>
      </c>
      <c r="G412" s="38" t="e">
        <f>#REF!+#REF!+#REF!</f>
        <v>#REF!</v>
      </c>
      <c r="H412" s="344" t="e">
        <f t="shared" si="28"/>
        <v>#REF!</v>
      </c>
      <c r="I412" s="38"/>
      <c r="J412" s="38"/>
      <c r="P412" s="374" t="s">
        <v>594</v>
      </c>
      <c r="Q412" s="374" t="s">
        <v>33</v>
      </c>
      <c r="R412" s="374" t="s">
        <v>549</v>
      </c>
      <c r="S412" s="374" t="s">
        <v>550</v>
      </c>
      <c r="T412" s="374" t="s">
        <v>35</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36</v>
      </c>
      <c r="C413" s="319" t="s">
        <v>549</v>
      </c>
      <c r="D413" s="319" t="s">
        <v>550</v>
      </c>
      <c r="E413" s="319" t="s">
        <v>37</v>
      </c>
      <c r="F413" s="283">
        <f>V459</f>
        <v>1000000</v>
      </c>
      <c r="G413" s="283" t="e">
        <f>#REF!</f>
        <v>#REF!</v>
      </c>
      <c r="H413" s="346" t="e">
        <f t="shared" si="28"/>
        <v>#REF!</v>
      </c>
      <c r="I413" s="283" t="e">
        <f>#REF!</f>
        <v>#REF!</v>
      </c>
      <c r="J413" s="283" t="e">
        <f>#REF!</f>
        <v>#REF!</v>
      </c>
      <c r="P413" s="374"/>
      <c r="Q413" s="374" t="s">
        <v>36</v>
      </c>
      <c r="R413" s="374" t="s">
        <v>549</v>
      </c>
      <c r="S413" s="374" t="s">
        <v>550</v>
      </c>
      <c r="T413" s="374" t="s">
        <v>37</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36</v>
      </c>
      <c r="C414" s="29" t="s">
        <v>549</v>
      </c>
      <c r="D414" s="29" t="s">
        <v>550</v>
      </c>
      <c r="E414" s="29" t="s">
        <v>38</v>
      </c>
      <c r="F414" s="283">
        <v>0</v>
      </c>
      <c r="G414" s="38">
        <f>'Лист6(211,212,226,266)'!E55</f>
        <v>6734</v>
      </c>
      <c r="H414" s="343">
        <f t="shared" si="28"/>
        <v>-6734</v>
      </c>
      <c r="I414" s="38"/>
      <c r="J414" s="38"/>
      <c r="P414" s="374"/>
      <c r="Q414" s="374" t="s">
        <v>36</v>
      </c>
      <c r="R414" s="374" t="s">
        <v>549</v>
      </c>
      <c r="S414" s="374" t="s">
        <v>550</v>
      </c>
      <c r="T414" s="374" t="s">
        <v>38</v>
      </c>
      <c r="U414" s="386">
        <f t="shared" si="25"/>
        <v>0</v>
      </c>
      <c r="V414" s="387">
        <v>0</v>
      </c>
      <c r="W414" s="388"/>
      <c r="X414" s="386">
        <f t="shared" si="26"/>
        <v>0</v>
      </c>
      <c r="Y414" s="387"/>
      <c r="Z414" s="388"/>
      <c r="AA414" s="386">
        <f t="shared" si="27"/>
        <v>0</v>
      </c>
      <c r="AB414" s="387"/>
      <c r="AC414" s="388"/>
    </row>
    <row r="415" spans="1:29">
      <c r="A415" s="120" t="s">
        <v>595</v>
      </c>
      <c r="B415" s="29" t="s">
        <v>36</v>
      </c>
      <c r="C415" s="29" t="s">
        <v>549</v>
      </c>
      <c r="D415" s="29" t="s">
        <v>550</v>
      </c>
      <c r="E415" s="29" t="s">
        <v>35</v>
      </c>
      <c r="F415" s="283">
        <f>1020+595</f>
        <v>1615</v>
      </c>
      <c r="G415" s="38" t="e">
        <f>#REF!</f>
        <v>#REF!</v>
      </c>
      <c r="H415" s="343" t="e">
        <f t="shared" si="28"/>
        <v>#REF!</v>
      </c>
      <c r="I415" s="38"/>
      <c r="J415" s="38"/>
      <c r="P415" s="374" t="s">
        <v>595</v>
      </c>
      <c r="Q415" s="374" t="s">
        <v>36</v>
      </c>
      <c r="R415" s="374" t="s">
        <v>549</v>
      </c>
      <c r="S415" s="374" t="s">
        <v>550</v>
      </c>
      <c r="T415" s="374" t="s">
        <v>35</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39</v>
      </c>
      <c r="C416" s="29" t="s">
        <v>549</v>
      </c>
      <c r="D416" s="29" t="s">
        <v>550</v>
      </c>
      <c r="E416" s="29" t="s">
        <v>40</v>
      </c>
      <c r="F416" s="283">
        <f>3020+6040+1510+15110.25+94928.69-94928.69</f>
        <v>25680.25</v>
      </c>
      <c r="G416" s="38">
        <f>'Лист10(213,221-223,266,291-297)'!F9+'Лист10(213,221-223,266,291-297)'!F10+'Лист10(213,221-223,266,291-297)'!F11</f>
        <v>10570</v>
      </c>
      <c r="H416" s="343">
        <f t="shared" si="28"/>
        <v>15110.25</v>
      </c>
      <c r="I416" s="38"/>
      <c r="J416" s="38"/>
      <c r="P416" s="374"/>
      <c r="Q416" s="374" t="s">
        <v>39</v>
      </c>
      <c r="R416" s="374" t="s">
        <v>549</v>
      </c>
      <c r="S416" s="374" t="s">
        <v>550</v>
      </c>
      <c r="T416" s="374" t="s">
        <v>40</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39</v>
      </c>
      <c r="C417" s="29" t="s">
        <v>551</v>
      </c>
      <c r="D417" s="29" t="s">
        <v>550</v>
      </c>
      <c r="E417" s="29" t="s">
        <v>40</v>
      </c>
      <c r="F417" s="283">
        <f>V463</f>
        <v>9836475.4100000001</v>
      </c>
      <c r="G417" s="1098" t="e">
        <f>#REF!</f>
        <v>#REF!</v>
      </c>
      <c r="H417" s="1099" t="e">
        <f t="shared" si="28"/>
        <v>#REF!</v>
      </c>
      <c r="I417" s="38"/>
      <c r="J417" s="38"/>
      <c r="P417" s="374"/>
      <c r="Q417" s="374" t="s">
        <v>39</v>
      </c>
      <c r="R417" s="374" t="s">
        <v>551</v>
      </c>
      <c r="S417" s="374" t="s">
        <v>550</v>
      </c>
      <c r="T417" s="374" t="s">
        <v>40</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39</v>
      </c>
      <c r="C418" s="29" t="s">
        <v>552</v>
      </c>
      <c r="D418" s="29" t="s">
        <v>550</v>
      </c>
      <c r="E418" s="29" t="s">
        <v>40</v>
      </c>
      <c r="F418" s="283">
        <v>0</v>
      </c>
      <c r="G418" s="1098"/>
      <c r="H418" s="1099">
        <f t="shared" si="28"/>
        <v>0</v>
      </c>
      <c r="I418" s="38"/>
      <c r="J418" s="38"/>
      <c r="P418" s="374"/>
      <c r="Q418" s="374" t="s">
        <v>39</v>
      </c>
      <c r="R418" s="374" t="s">
        <v>552</v>
      </c>
      <c r="S418" s="374" t="s">
        <v>550</v>
      </c>
      <c r="T418" s="374" t="s">
        <v>40</v>
      </c>
      <c r="U418" s="386">
        <f t="shared" si="25"/>
        <v>0</v>
      </c>
      <c r="V418" s="387">
        <v>0</v>
      </c>
      <c r="W418" s="388"/>
      <c r="X418" s="386">
        <f t="shared" si="26"/>
        <v>0</v>
      </c>
      <c r="Y418" s="387"/>
      <c r="Z418" s="388"/>
      <c r="AA418" s="386">
        <f t="shared" si="27"/>
        <v>0</v>
      </c>
      <c r="AB418" s="387"/>
      <c r="AC418" s="388"/>
    </row>
    <row r="419" spans="1:29">
      <c r="B419" s="29" t="s">
        <v>39</v>
      </c>
      <c r="C419" s="29" t="s">
        <v>553</v>
      </c>
      <c r="D419" s="29" t="s">
        <v>550</v>
      </c>
      <c r="E419" s="29" t="s">
        <v>40</v>
      </c>
      <c r="F419" s="283">
        <v>0</v>
      </c>
      <c r="G419" s="1098"/>
      <c r="H419" s="1099">
        <f t="shared" si="28"/>
        <v>0</v>
      </c>
      <c r="I419" s="38"/>
      <c r="J419" s="38"/>
      <c r="P419" s="374"/>
      <c r="Q419" s="374" t="s">
        <v>39</v>
      </c>
      <c r="R419" s="374" t="s">
        <v>553</v>
      </c>
      <c r="S419" s="374" t="s">
        <v>550</v>
      </c>
      <c r="T419" s="374" t="s">
        <v>40</v>
      </c>
      <c r="U419" s="386">
        <f t="shared" si="25"/>
        <v>0</v>
      </c>
      <c r="V419" s="387">
        <v>0</v>
      </c>
      <c r="W419" s="388"/>
      <c r="X419" s="386">
        <f t="shared" si="26"/>
        <v>0</v>
      </c>
      <c r="Y419" s="387"/>
      <c r="Z419" s="388"/>
      <c r="AA419" s="386">
        <f t="shared" si="27"/>
        <v>0</v>
      </c>
      <c r="AB419" s="387"/>
      <c r="AC419" s="388"/>
    </row>
    <row r="420" spans="1:29">
      <c r="B420" s="29" t="s">
        <v>39</v>
      </c>
      <c r="C420" s="29" t="s">
        <v>549</v>
      </c>
      <c r="D420" s="29" t="s">
        <v>550</v>
      </c>
      <c r="E420" s="29" t="s">
        <v>35</v>
      </c>
      <c r="F420" s="283">
        <v>94928.69</v>
      </c>
      <c r="G420" s="38" t="e">
        <f>'Лист10(213,221-223,266,291-297)'!F12+#REF!</f>
        <v>#REF!</v>
      </c>
      <c r="H420" s="345" t="e">
        <f t="shared" si="28"/>
        <v>#REF!</v>
      </c>
      <c r="I420" s="38"/>
      <c r="J420" s="38"/>
      <c r="P420" s="374"/>
      <c r="Q420" s="374" t="s">
        <v>39</v>
      </c>
      <c r="R420" s="374" t="s">
        <v>549</v>
      </c>
      <c r="S420" s="374" t="s">
        <v>550</v>
      </c>
      <c r="T420" s="374" t="s">
        <v>35</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43</v>
      </c>
      <c r="C421" s="319" t="s">
        <v>549</v>
      </c>
      <c r="D421" s="319" t="s">
        <v>550</v>
      </c>
      <c r="E421" s="319" t="s">
        <v>44</v>
      </c>
      <c r="F421" s="283">
        <v>212942.38</v>
      </c>
      <c r="G421" s="283">
        <f>'Лист10(213,221-223,266,291-297)'!G89</f>
        <v>212942.4</v>
      </c>
      <c r="H421" s="346">
        <f t="shared" si="28"/>
        <v>-0.02</v>
      </c>
      <c r="I421" s="283">
        <f>'Лист10(213,221-223,266,291-297)'!K89</f>
        <v>218702.4</v>
      </c>
      <c r="J421" s="283">
        <f>'Лист10(213,221-223,266,291-297)'!O89</f>
        <v>225038.4</v>
      </c>
      <c r="P421" s="374"/>
      <c r="Q421" s="374" t="s">
        <v>43</v>
      </c>
      <c r="R421" s="374" t="s">
        <v>549</v>
      </c>
      <c r="S421" s="374" t="s">
        <v>550</v>
      </c>
      <c r="T421" s="374" t="s">
        <v>44</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43</v>
      </c>
      <c r="C422" s="319" t="s">
        <v>549</v>
      </c>
      <c r="D422" s="319" t="s">
        <v>550</v>
      </c>
      <c r="E422" s="319" t="s">
        <v>45</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43</v>
      </c>
      <c r="R422" s="374" t="s">
        <v>549</v>
      </c>
      <c r="S422" s="374" t="s">
        <v>550</v>
      </c>
      <c r="T422" s="374" t="s">
        <v>45</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43</v>
      </c>
      <c r="C423" s="319" t="s">
        <v>549</v>
      </c>
      <c r="D423" s="319" t="s">
        <v>550</v>
      </c>
      <c r="E423" s="319" t="s">
        <v>46</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43</v>
      </c>
      <c r="R423" s="374" t="s">
        <v>549</v>
      </c>
      <c r="S423" s="374" t="s">
        <v>550</v>
      </c>
      <c r="T423" s="374" t="s">
        <v>46</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43</v>
      </c>
      <c r="C424" s="319" t="s">
        <v>549</v>
      </c>
      <c r="D424" s="319" t="s">
        <v>550</v>
      </c>
      <c r="E424" s="319" t="s">
        <v>119</v>
      </c>
      <c r="F424" s="283">
        <v>12428476.800000001</v>
      </c>
      <c r="G424" s="283">
        <f>G67+G68</f>
        <v>12428476.800000001</v>
      </c>
      <c r="H424" s="346">
        <f t="shared" si="28"/>
        <v>0</v>
      </c>
      <c r="I424" s="283">
        <f>J67+J68</f>
        <v>12428476.800000001</v>
      </c>
      <c r="J424" s="283">
        <f>M67+M68</f>
        <v>4721038.38</v>
      </c>
      <c r="P424" s="374"/>
      <c r="Q424" s="374" t="s">
        <v>43</v>
      </c>
      <c r="R424" s="374" t="s">
        <v>549</v>
      </c>
      <c r="S424" s="374" t="s">
        <v>550</v>
      </c>
      <c r="T424" s="374" t="s">
        <v>119</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43</v>
      </c>
      <c r="C425" s="319" t="s">
        <v>549</v>
      </c>
      <c r="D425" s="319" t="s">
        <v>550</v>
      </c>
      <c r="E425" s="319" t="s">
        <v>47</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592</v>
      </c>
      <c r="P425" s="374"/>
      <c r="Q425" s="374" t="s">
        <v>43</v>
      </c>
      <c r="R425" s="374" t="s">
        <v>549</v>
      </c>
      <c r="S425" s="374" t="s">
        <v>550</v>
      </c>
      <c r="T425" s="374" t="s">
        <v>47</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43</v>
      </c>
      <c r="C426" s="29" t="s">
        <v>549</v>
      </c>
      <c r="D426" s="29" t="s">
        <v>550</v>
      </c>
      <c r="E426" s="29" t="s">
        <v>38</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43</v>
      </c>
      <c r="R426" s="374" t="s">
        <v>549</v>
      </c>
      <c r="S426" s="374" t="s">
        <v>550</v>
      </c>
      <c r="T426" s="374" t="s">
        <v>38</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43</v>
      </c>
      <c r="C427" s="29" t="s">
        <v>554</v>
      </c>
      <c r="D427" s="29" t="s">
        <v>550</v>
      </c>
      <c r="E427" s="29" t="s">
        <v>38</v>
      </c>
      <c r="F427" s="283">
        <v>2175316.06</v>
      </c>
      <c r="G427" s="38">
        <f>G80</f>
        <v>2175316.06</v>
      </c>
      <c r="H427" s="345">
        <f t="shared" si="28"/>
        <v>0</v>
      </c>
      <c r="I427" s="38"/>
      <c r="J427" s="38"/>
      <c r="P427" s="374"/>
      <c r="Q427" s="374" t="s">
        <v>43</v>
      </c>
      <c r="R427" s="374" t="s">
        <v>554</v>
      </c>
      <c r="S427" s="374" t="s">
        <v>550</v>
      </c>
      <c r="T427" s="374" t="s">
        <v>38</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43</v>
      </c>
      <c r="C428" s="375" t="s">
        <v>555</v>
      </c>
      <c r="D428" s="375" t="s">
        <v>550</v>
      </c>
      <c r="E428" s="376">
        <v>226</v>
      </c>
      <c r="F428" s="283">
        <v>657987.48</v>
      </c>
      <c r="G428" s="373">
        <v>0</v>
      </c>
      <c r="H428" s="377">
        <f t="shared" si="28"/>
        <v>657987.48</v>
      </c>
      <c r="I428" s="373">
        <v>0</v>
      </c>
      <c r="J428" s="373">
        <v>0</v>
      </c>
      <c r="P428" s="374"/>
      <c r="Q428" s="442" t="s">
        <v>43</v>
      </c>
      <c r="R428" s="443" t="s">
        <v>555</v>
      </c>
      <c r="S428" s="443" t="s">
        <v>550</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43</v>
      </c>
      <c r="R429" s="445" t="s">
        <v>555</v>
      </c>
      <c r="S429" s="445" t="s">
        <v>550</v>
      </c>
      <c r="T429" s="445">
        <v>346</v>
      </c>
      <c r="U429" s="386">
        <f t="shared" si="25"/>
        <v>9448.0499999999993</v>
      </c>
      <c r="V429" s="388">
        <v>9448.0499999999993</v>
      </c>
      <c r="W429" s="388"/>
      <c r="X429" s="386"/>
      <c r="Y429" s="387"/>
      <c r="Z429" s="388"/>
      <c r="AA429" s="386"/>
      <c r="AB429" s="387"/>
      <c r="AC429" s="388"/>
    </row>
    <row r="430" spans="1:29" s="375" customFormat="1">
      <c r="A430" s="375" t="s">
        <v>593</v>
      </c>
      <c r="B430" s="375" t="s">
        <v>43</v>
      </c>
      <c r="C430" s="375" t="s">
        <v>555</v>
      </c>
      <c r="D430" s="375" t="s">
        <v>556</v>
      </c>
      <c r="E430" s="376">
        <v>226</v>
      </c>
      <c r="F430" s="283">
        <v>34630.9</v>
      </c>
      <c r="G430" s="373">
        <v>0</v>
      </c>
      <c r="H430" s="377">
        <f t="shared" si="28"/>
        <v>34630.9</v>
      </c>
      <c r="I430" s="373">
        <v>0</v>
      </c>
      <c r="J430" s="373">
        <v>0</v>
      </c>
      <c r="P430" s="374" t="s">
        <v>593</v>
      </c>
      <c r="Q430" s="444" t="s">
        <v>43</v>
      </c>
      <c r="R430" s="445" t="s">
        <v>555</v>
      </c>
      <c r="S430" s="445" t="s">
        <v>556</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43</v>
      </c>
      <c r="R431" s="445" t="s">
        <v>555</v>
      </c>
      <c r="S431" s="445" t="s">
        <v>556</v>
      </c>
      <c r="T431" s="445">
        <v>346</v>
      </c>
      <c r="U431" s="386">
        <f t="shared" si="25"/>
        <v>98731.88</v>
      </c>
      <c r="V431" s="388">
        <v>98731.88</v>
      </c>
      <c r="W431" s="388"/>
      <c r="X431" s="386"/>
      <c r="Y431" s="387"/>
      <c r="Z431" s="388"/>
      <c r="AA431" s="386"/>
      <c r="AB431" s="387"/>
      <c r="AC431" s="388"/>
    </row>
    <row r="432" spans="1:29" s="375" customFormat="1">
      <c r="A432" s="375" t="s">
        <v>593</v>
      </c>
      <c r="B432" s="375" t="s">
        <v>43</v>
      </c>
      <c r="C432" s="375" t="s">
        <v>555</v>
      </c>
      <c r="D432" s="375" t="s">
        <v>556</v>
      </c>
      <c r="E432" s="376">
        <v>346</v>
      </c>
      <c r="F432" s="283">
        <v>188960.57</v>
      </c>
      <c r="G432" s="373">
        <v>0</v>
      </c>
      <c r="H432" s="377">
        <f t="shared" si="28"/>
        <v>188960.57</v>
      </c>
      <c r="I432" s="373">
        <v>0</v>
      </c>
      <c r="J432" s="373">
        <v>0</v>
      </c>
      <c r="P432" s="374" t="s">
        <v>593</v>
      </c>
      <c r="Q432" s="444" t="s">
        <v>43</v>
      </c>
      <c r="R432" s="445" t="s">
        <v>555</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43</v>
      </c>
      <c r="R433" s="448" t="s">
        <v>555</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43</v>
      </c>
      <c r="C434" s="319" t="s">
        <v>549</v>
      </c>
      <c r="D434" s="319" t="s">
        <v>550</v>
      </c>
      <c r="E434" s="319" t="s">
        <v>49</v>
      </c>
      <c r="F434" s="283">
        <v>26310.14</v>
      </c>
      <c r="G434" s="283">
        <f>G265</f>
        <v>26310.14</v>
      </c>
      <c r="H434" s="346">
        <f t="shared" si="28"/>
        <v>0</v>
      </c>
      <c r="I434" s="283">
        <f>J265</f>
        <v>30893.68</v>
      </c>
      <c r="J434" s="283">
        <f>M265</f>
        <v>30616.73</v>
      </c>
      <c r="P434" s="374"/>
      <c r="Q434" s="374" t="s">
        <v>43</v>
      </c>
      <c r="R434" s="374" t="s">
        <v>549</v>
      </c>
      <c r="S434" s="374" t="s">
        <v>550</v>
      </c>
      <c r="T434" s="374" t="s">
        <v>49</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43</v>
      </c>
      <c r="C435" s="319" t="s">
        <v>549</v>
      </c>
      <c r="D435" s="319" t="s">
        <v>550</v>
      </c>
      <c r="E435" s="319" t="s">
        <v>50</v>
      </c>
      <c r="F435" s="283">
        <f>187438.31</f>
        <v>187438.31</v>
      </c>
      <c r="G435" s="283" t="e">
        <f>#REF!</f>
        <v>#REF!</v>
      </c>
      <c r="H435" s="346" t="e">
        <f t="shared" si="28"/>
        <v>#REF!</v>
      </c>
      <c r="I435" s="283" t="e">
        <f>#REF!</f>
        <v>#REF!</v>
      </c>
      <c r="J435" s="283" t="e">
        <f>#REF!</f>
        <v>#REF!</v>
      </c>
      <c r="P435" s="374"/>
      <c r="Q435" s="374" t="s">
        <v>43</v>
      </c>
      <c r="R435" s="374" t="s">
        <v>549</v>
      </c>
      <c r="S435" s="374" t="s">
        <v>550</v>
      </c>
      <c r="T435" s="374" t="s">
        <v>50</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43</v>
      </c>
      <c r="C436" s="29" t="s">
        <v>554</v>
      </c>
      <c r="D436" s="29" t="s">
        <v>550</v>
      </c>
      <c r="E436" s="29" t="s">
        <v>50</v>
      </c>
      <c r="F436" s="283">
        <v>460603.27</v>
      </c>
      <c r="G436" s="38">
        <f>G164</f>
        <v>44468.99</v>
      </c>
      <c r="H436" s="345">
        <f t="shared" si="28"/>
        <v>416134.28</v>
      </c>
      <c r="I436" s="38"/>
      <c r="J436" s="38"/>
      <c r="P436" s="374"/>
      <c r="Q436" s="374" t="s">
        <v>43</v>
      </c>
      <c r="R436" s="374" t="s">
        <v>554</v>
      </c>
      <c r="S436" s="374" t="s">
        <v>550</v>
      </c>
      <c r="T436" s="374" t="s">
        <v>50</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41</v>
      </c>
      <c r="C437" s="319" t="s">
        <v>549</v>
      </c>
      <c r="D437" s="319" t="s">
        <v>550</v>
      </c>
      <c r="E437" s="319" t="s">
        <v>42</v>
      </c>
      <c r="F437" s="283">
        <f>V482</f>
        <v>50065.93</v>
      </c>
      <c r="G437" s="283">
        <f>'Лист10(213,221-223,266,291-297)'!F42</f>
        <v>50065.93</v>
      </c>
      <c r="H437" s="346">
        <f t="shared" si="28"/>
        <v>0</v>
      </c>
      <c r="I437" s="283">
        <f>'Лист10(213,221-223,266,291-297)'!J42</f>
        <v>37173.14</v>
      </c>
      <c r="J437" s="283">
        <f>'Лист10(213,221-223,266,291-297)'!N42</f>
        <v>40682.78</v>
      </c>
      <c r="P437" s="374"/>
      <c r="Q437" s="374" t="s">
        <v>41</v>
      </c>
      <c r="R437" s="374" t="s">
        <v>549</v>
      </c>
      <c r="S437" s="374" t="s">
        <v>550</v>
      </c>
      <c r="T437" s="374" t="s">
        <v>42</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576</v>
      </c>
      <c r="G445" s="29" t="s">
        <v>571</v>
      </c>
      <c r="H445" s="138" t="s">
        <v>572</v>
      </c>
      <c r="I445" s="29">
        <v>2023</v>
      </c>
      <c r="J445" s="29">
        <v>2024</v>
      </c>
      <c r="Y445" s="38">
        <f>Y434+Y435+Y436</f>
        <v>695463.94</v>
      </c>
    </row>
    <row r="446" spans="2:29">
      <c r="B446" s="29" t="s">
        <v>33</v>
      </c>
      <c r="C446" s="29" t="s">
        <v>549</v>
      </c>
      <c r="D446" s="332" t="s">
        <v>588</v>
      </c>
      <c r="E446" s="29" t="s">
        <v>34</v>
      </c>
      <c r="F446" s="38">
        <v>1000</v>
      </c>
      <c r="G446" s="38"/>
      <c r="H446" s="343">
        <f>F446-G446</f>
        <v>1000</v>
      </c>
      <c r="I446" s="38"/>
      <c r="J446" s="38"/>
    </row>
    <row r="447" spans="2:29">
      <c r="B447" s="29" t="s">
        <v>33</v>
      </c>
      <c r="C447" s="29" t="s">
        <v>551</v>
      </c>
      <c r="D447" s="29" t="s">
        <v>588</v>
      </c>
      <c r="E447" s="29" t="s">
        <v>34</v>
      </c>
      <c r="F447" s="38">
        <v>4526126.91</v>
      </c>
      <c r="G447" s="38"/>
      <c r="H447" s="343">
        <f t="shared" ref="H447:H475" si="32">F447-G447</f>
        <v>4526126.91</v>
      </c>
      <c r="I447" s="38"/>
      <c r="J447" s="38"/>
    </row>
    <row r="448" spans="2:29">
      <c r="B448" s="29" t="s">
        <v>33</v>
      </c>
      <c r="C448" s="29" t="s">
        <v>552</v>
      </c>
      <c r="D448" s="29" t="s">
        <v>588</v>
      </c>
      <c r="E448" s="29" t="s">
        <v>34</v>
      </c>
      <c r="F448" s="38">
        <v>0</v>
      </c>
      <c r="G448" s="38"/>
      <c r="H448" s="343">
        <f t="shared" si="32"/>
        <v>0</v>
      </c>
      <c r="I448" s="38"/>
      <c r="J448" s="38"/>
    </row>
    <row r="449" spans="2:29">
      <c r="B449" s="29" t="s">
        <v>33</v>
      </c>
      <c r="C449" s="29" t="s">
        <v>553</v>
      </c>
      <c r="D449" s="29" t="s">
        <v>588</v>
      </c>
      <c r="E449" s="29" t="s">
        <v>34</v>
      </c>
      <c r="F449" s="38">
        <v>0</v>
      </c>
      <c r="G449" s="38"/>
      <c r="H449" s="343">
        <f t="shared" si="32"/>
        <v>0</v>
      </c>
      <c r="I449" s="38"/>
      <c r="J449" s="38"/>
    </row>
    <row r="450" spans="2:29">
      <c r="B450" s="29" t="s">
        <v>33</v>
      </c>
      <c r="C450" s="29" t="s">
        <v>549</v>
      </c>
      <c r="D450" s="29" t="s">
        <v>588</v>
      </c>
      <c r="E450" s="29" t="s">
        <v>35</v>
      </c>
      <c r="F450" s="38"/>
      <c r="G450" s="38"/>
      <c r="H450" s="343">
        <f t="shared" si="32"/>
        <v>0</v>
      </c>
      <c r="I450" s="38"/>
      <c r="J450" s="38"/>
      <c r="P450" s="120"/>
      <c r="Q450" s="120"/>
      <c r="R450" s="1094" t="s">
        <v>597</v>
      </c>
      <c r="S450" s="1094"/>
      <c r="T450" s="1094"/>
      <c r="U450" s="1094"/>
      <c r="V450" s="1094"/>
      <c r="W450" s="1094"/>
      <c r="X450" s="1094"/>
      <c r="Y450" s="1094"/>
      <c r="Z450" s="1094"/>
      <c r="AA450" s="1094"/>
      <c r="AB450" s="1094"/>
      <c r="AC450" s="1094"/>
    </row>
    <row r="451" spans="2:29" s="319" customFormat="1">
      <c r="B451" s="319" t="s">
        <v>36</v>
      </c>
      <c r="C451" s="319" t="s">
        <v>549</v>
      </c>
      <c r="D451" s="319" t="s">
        <v>588</v>
      </c>
      <c r="E451" s="319" t="s">
        <v>37</v>
      </c>
      <c r="F451" s="283">
        <v>100000</v>
      </c>
      <c r="G451" s="283" t="e">
        <f>#REF!</f>
        <v>#REF!</v>
      </c>
      <c r="H451" s="343" t="e">
        <f t="shared" si="32"/>
        <v>#REF!</v>
      </c>
      <c r="I451" s="283" t="e">
        <f>#REF!</f>
        <v>#REF!</v>
      </c>
      <c r="J451" s="283" t="e">
        <f>#REF!</f>
        <v>#REF!</v>
      </c>
      <c r="P451" s="120"/>
      <c r="Q451" s="120"/>
      <c r="R451" s="1094"/>
      <c r="S451" s="1094"/>
      <c r="T451" s="1094"/>
      <c r="U451" s="1094"/>
      <c r="V451" s="1094"/>
      <c r="W451" s="1094"/>
      <c r="X451" s="1094"/>
      <c r="Y451" s="1094"/>
      <c r="Z451" s="1094"/>
      <c r="AA451" s="1094"/>
      <c r="AB451" s="1094"/>
      <c r="AC451" s="1094"/>
    </row>
    <row r="452" spans="2:29">
      <c r="B452" s="29" t="s">
        <v>36</v>
      </c>
      <c r="C452" s="29" t="s">
        <v>549</v>
      </c>
      <c r="D452" s="29" t="s">
        <v>588</v>
      </c>
      <c r="E452" s="29" t="s">
        <v>38</v>
      </c>
      <c r="F452" s="38">
        <v>0</v>
      </c>
      <c r="G452" s="38"/>
      <c r="H452" s="343">
        <f t="shared" si="32"/>
        <v>0</v>
      </c>
      <c r="I452" s="38"/>
      <c r="J452" s="38"/>
      <c r="P452" s="120"/>
      <c r="Q452" s="120"/>
      <c r="R452" s="1094"/>
      <c r="S452" s="1094"/>
      <c r="T452" s="1094"/>
      <c r="U452" s="1094"/>
      <c r="V452" s="1094"/>
      <c r="W452" s="1094"/>
      <c r="X452" s="1094"/>
      <c r="Y452" s="1094"/>
      <c r="Z452" s="1094"/>
      <c r="AA452" s="1094"/>
      <c r="AB452" s="1094"/>
      <c r="AC452" s="1094"/>
    </row>
    <row r="453" spans="2:29">
      <c r="B453" s="29" t="s">
        <v>36</v>
      </c>
      <c r="C453" s="29" t="s">
        <v>549</v>
      </c>
      <c r="D453" s="29" t="s">
        <v>588</v>
      </c>
      <c r="E453" s="29" t="s">
        <v>35</v>
      </c>
      <c r="F453" s="38">
        <v>425</v>
      </c>
      <c r="G453" s="38"/>
      <c r="H453" s="343">
        <f t="shared" si="32"/>
        <v>425</v>
      </c>
      <c r="I453" s="38"/>
      <c r="J453" s="38"/>
      <c r="P453" s="120"/>
      <c r="Q453" s="120"/>
      <c r="R453" s="120"/>
      <c r="S453" s="120"/>
      <c r="T453" s="120"/>
      <c r="U453" s="1095">
        <v>2022</v>
      </c>
      <c r="V453" s="1096"/>
      <c r="W453" s="1097"/>
      <c r="X453" s="1095">
        <v>2023</v>
      </c>
      <c r="Y453" s="1096"/>
      <c r="Z453" s="1097"/>
      <c r="AA453" s="1095">
        <v>2024</v>
      </c>
      <c r="AB453" s="1096"/>
      <c r="AC453" s="1097"/>
    </row>
    <row r="454" spans="2:29">
      <c r="B454" s="29" t="s">
        <v>39</v>
      </c>
      <c r="C454" s="29" t="s">
        <v>549</v>
      </c>
      <c r="D454" s="29" t="s">
        <v>588</v>
      </c>
      <c r="E454" s="29" t="s">
        <v>40</v>
      </c>
      <c r="F454" s="38">
        <v>1477069.57</v>
      </c>
      <c r="G454" s="38"/>
      <c r="H454" s="343">
        <f t="shared" si="32"/>
        <v>1477069.57</v>
      </c>
      <c r="I454" s="38"/>
      <c r="J454" s="38"/>
      <c r="P454" s="374" t="s">
        <v>590</v>
      </c>
      <c r="Q454" s="374" t="s">
        <v>33</v>
      </c>
      <c r="R454" s="374" t="s">
        <v>549</v>
      </c>
      <c r="S454" s="374" t="s">
        <v>620</v>
      </c>
      <c r="T454" s="374" t="s">
        <v>34</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39</v>
      </c>
      <c r="C455" s="29" t="s">
        <v>551</v>
      </c>
      <c r="D455" s="29" t="s">
        <v>588</v>
      </c>
      <c r="E455" s="29" t="s">
        <v>40</v>
      </c>
      <c r="F455" s="38">
        <v>0</v>
      </c>
      <c r="G455" s="38"/>
      <c r="H455" s="343">
        <f t="shared" si="32"/>
        <v>0</v>
      </c>
      <c r="I455" s="38"/>
      <c r="J455" s="38"/>
      <c r="P455" s="374" t="s">
        <v>591</v>
      </c>
      <c r="Q455" s="374" t="s">
        <v>33</v>
      </c>
      <c r="R455" s="374" t="s">
        <v>551</v>
      </c>
      <c r="S455" s="374" t="s">
        <v>620</v>
      </c>
      <c r="T455" s="374" t="s">
        <v>34</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39</v>
      </c>
      <c r="C456" s="29" t="s">
        <v>552</v>
      </c>
      <c r="D456" s="29" t="s">
        <v>588</v>
      </c>
      <c r="E456" s="29" t="s">
        <v>40</v>
      </c>
      <c r="F456" s="38">
        <v>0</v>
      </c>
      <c r="G456" s="38"/>
      <c r="H456" s="343">
        <f t="shared" si="32"/>
        <v>0</v>
      </c>
      <c r="I456" s="38"/>
      <c r="J456" s="38"/>
      <c r="P456" s="374"/>
      <c r="Q456" s="374" t="s">
        <v>33</v>
      </c>
      <c r="R456" s="374" t="s">
        <v>552</v>
      </c>
      <c r="S456" s="374" t="s">
        <v>620</v>
      </c>
      <c r="T456" s="374" t="s">
        <v>34</v>
      </c>
      <c r="U456" s="386">
        <f t="shared" si="33"/>
        <v>0</v>
      </c>
      <c r="V456" s="387">
        <v>0</v>
      </c>
      <c r="W456" s="388"/>
      <c r="X456" s="386">
        <f t="shared" si="34"/>
        <v>0</v>
      </c>
      <c r="Y456" s="387"/>
      <c r="Z456" s="388"/>
      <c r="AA456" s="386">
        <f t="shared" si="35"/>
        <v>0</v>
      </c>
      <c r="AB456" s="387"/>
      <c r="AC456" s="388"/>
    </row>
    <row r="457" spans="2:29">
      <c r="B457" s="29" t="s">
        <v>39</v>
      </c>
      <c r="C457" s="29" t="s">
        <v>553</v>
      </c>
      <c r="D457" s="29" t="s">
        <v>588</v>
      </c>
      <c r="E457" s="29" t="s">
        <v>40</v>
      </c>
      <c r="F457" s="38">
        <v>0</v>
      </c>
      <c r="G457" s="38"/>
      <c r="H457" s="343">
        <f t="shared" si="32"/>
        <v>0</v>
      </c>
      <c r="I457" s="38"/>
      <c r="J457" s="38"/>
      <c r="P457" s="374"/>
      <c r="Q457" s="374" t="s">
        <v>33</v>
      </c>
      <c r="R457" s="374" t="s">
        <v>553</v>
      </c>
      <c r="S457" s="374" t="s">
        <v>620</v>
      </c>
      <c r="T457" s="374" t="s">
        <v>34</v>
      </c>
      <c r="U457" s="386">
        <f t="shared" si="33"/>
        <v>0</v>
      </c>
      <c r="V457" s="387">
        <v>0</v>
      </c>
      <c r="W457" s="388"/>
      <c r="X457" s="386">
        <f t="shared" si="34"/>
        <v>0</v>
      </c>
      <c r="Y457" s="387"/>
      <c r="Z457" s="388"/>
      <c r="AA457" s="386">
        <f t="shared" si="35"/>
        <v>0</v>
      </c>
      <c r="AB457" s="387"/>
      <c r="AC457" s="388"/>
    </row>
    <row r="458" spans="2:29">
      <c r="B458" s="29" t="s">
        <v>39</v>
      </c>
      <c r="C458" s="29" t="s">
        <v>549</v>
      </c>
      <c r="D458" s="29" t="s">
        <v>588</v>
      </c>
      <c r="E458" s="29" t="s">
        <v>35</v>
      </c>
      <c r="F458" s="38">
        <v>0</v>
      </c>
      <c r="G458" s="38"/>
      <c r="H458" s="343">
        <f t="shared" si="32"/>
        <v>0</v>
      </c>
      <c r="I458" s="38"/>
      <c r="J458" s="38"/>
      <c r="P458" s="374" t="s">
        <v>594</v>
      </c>
      <c r="Q458" s="374" t="s">
        <v>33</v>
      </c>
      <c r="R458" s="374" t="s">
        <v>549</v>
      </c>
      <c r="S458" s="374" t="s">
        <v>620</v>
      </c>
      <c r="T458" s="374" t="s">
        <v>35</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43</v>
      </c>
      <c r="C459" s="319" t="s">
        <v>549</v>
      </c>
      <c r="D459" s="319" t="s">
        <v>588</v>
      </c>
      <c r="E459" s="319" t="s">
        <v>44</v>
      </c>
      <c r="F459" s="283">
        <v>0</v>
      </c>
      <c r="G459" s="283">
        <f>'Лист10(213,221-223,266,291-297)'!G108</f>
        <v>0</v>
      </c>
      <c r="H459" s="343">
        <f t="shared" si="32"/>
        <v>0</v>
      </c>
      <c r="I459" s="283">
        <f>'Лист10(213,221-223,266,291-297)'!K108</f>
        <v>0</v>
      </c>
      <c r="J459" s="283">
        <f>'Лист10(213,221-223,266,291-297)'!O108</f>
        <v>0</v>
      </c>
      <c r="P459" s="374"/>
      <c r="Q459" s="374" t="s">
        <v>36</v>
      </c>
      <c r="R459" s="374" t="s">
        <v>549</v>
      </c>
      <c r="S459" s="374" t="s">
        <v>620</v>
      </c>
      <c r="T459" s="374" t="s">
        <v>37</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43</v>
      </c>
      <c r="C460" s="319" t="s">
        <v>549</v>
      </c>
      <c r="D460" s="319" t="s">
        <v>588</v>
      </c>
      <c r="E460" s="319" t="s">
        <v>45</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36</v>
      </c>
      <c r="R460" s="374" t="s">
        <v>549</v>
      </c>
      <c r="S460" s="374" t="s">
        <v>620</v>
      </c>
      <c r="T460" s="374" t="s">
        <v>38</v>
      </c>
      <c r="U460" s="386">
        <f t="shared" si="33"/>
        <v>0</v>
      </c>
      <c r="V460" s="387">
        <v>0</v>
      </c>
      <c r="W460" s="388"/>
      <c r="X460" s="386">
        <f t="shared" si="34"/>
        <v>0</v>
      </c>
      <c r="Y460" s="387"/>
      <c r="Z460" s="388"/>
      <c r="AA460" s="386">
        <f t="shared" si="35"/>
        <v>0</v>
      </c>
      <c r="AB460" s="387"/>
      <c r="AC460" s="388"/>
    </row>
    <row r="461" spans="2:29" s="319" customFormat="1">
      <c r="B461" s="319" t="s">
        <v>43</v>
      </c>
      <c r="C461" s="319" t="s">
        <v>549</v>
      </c>
      <c r="D461" s="319" t="s">
        <v>588</v>
      </c>
      <c r="E461" s="319" t="s">
        <v>46</v>
      </c>
      <c r="F461" s="283">
        <f>111651.14+7042.86</f>
        <v>118694</v>
      </c>
      <c r="G461" s="283">
        <f>'Лист10(213,221-223,266,291-297)'!F188</f>
        <v>118694</v>
      </c>
      <c r="H461" s="343">
        <f t="shared" si="32"/>
        <v>0</v>
      </c>
      <c r="I461" s="283">
        <f>'Лист10(213,221-223,266,291-297)'!J188</f>
        <v>121307.54</v>
      </c>
      <c r="J461" s="283">
        <f>'Лист10(213,221-223,266,291-297)'!N188</f>
        <v>124473.71</v>
      </c>
      <c r="P461" s="374" t="s">
        <v>595</v>
      </c>
      <c r="Q461" s="374" t="s">
        <v>36</v>
      </c>
      <c r="R461" s="374" t="s">
        <v>549</v>
      </c>
      <c r="S461" s="374" t="s">
        <v>620</v>
      </c>
      <c r="T461" s="374" t="s">
        <v>35</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43</v>
      </c>
      <c r="C462" s="319" t="s">
        <v>549</v>
      </c>
      <c r="D462" s="319" t="s">
        <v>588</v>
      </c>
      <c r="E462" s="319" t="s">
        <v>119</v>
      </c>
      <c r="F462" s="283">
        <v>0</v>
      </c>
      <c r="G462" s="283">
        <v>0</v>
      </c>
      <c r="H462" s="343">
        <f t="shared" si="32"/>
        <v>0</v>
      </c>
      <c r="I462" s="283">
        <v>0</v>
      </c>
      <c r="J462" s="283">
        <v>0</v>
      </c>
      <c r="P462" s="374"/>
      <c r="Q462" s="374" t="s">
        <v>39</v>
      </c>
      <c r="R462" s="374" t="s">
        <v>549</v>
      </c>
      <c r="S462" s="374" t="s">
        <v>620</v>
      </c>
      <c r="T462" s="374" t="s">
        <v>40</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43</v>
      </c>
      <c r="C463" s="319" t="s">
        <v>549</v>
      </c>
      <c r="D463" s="319" t="s">
        <v>588</v>
      </c>
      <c r="E463" s="319" t="s">
        <v>47</v>
      </c>
      <c r="F463" s="283">
        <f>97170.4+16942.36</f>
        <v>114112.76</v>
      </c>
      <c r="G463" s="283">
        <f>'Лист11(225)'!G47</f>
        <v>281282.73</v>
      </c>
      <c r="H463" s="343">
        <f t="shared" si="32"/>
        <v>-167169.97</v>
      </c>
      <c r="I463" s="283">
        <f>'Лист11(225)'!K47</f>
        <v>281282.73</v>
      </c>
      <c r="J463" s="283">
        <f>'Лист11(225)'!O47</f>
        <v>281282.73</v>
      </c>
      <c r="P463" s="374"/>
      <c r="Q463" s="374" t="s">
        <v>39</v>
      </c>
      <c r="R463" s="374" t="s">
        <v>551</v>
      </c>
      <c r="S463" s="374" t="s">
        <v>620</v>
      </c>
      <c r="T463" s="374" t="s">
        <v>40</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43</v>
      </c>
      <c r="C464" s="29" t="s">
        <v>549</v>
      </c>
      <c r="D464" s="29" t="s">
        <v>588</v>
      </c>
      <c r="E464" s="29" t="s">
        <v>38</v>
      </c>
      <c r="F464" s="38">
        <f>418590+17655.26+307932+7064.12+10097.36+622720+1383821.9+20622.76+36065.04+26220+2957.65+21477.14+257214.79</f>
        <v>3132438.02</v>
      </c>
      <c r="G464" s="38"/>
      <c r="H464" s="343">
        <f t="shared" si="32"/>
        <v>3132438.02</v>
      </c>
      <c r="I464" s="38"/>
      <c r="J464" s="38"/>
      <c r="P464" s="374"/>
      <c r="Q464" s="374" t="s">
        <v>39</v>
      </c>
      <c r="R464" s="374" t="s">
        <v>552</v>
      </c>
      <c r="S464" s="374" t="s">
        <v>620</v>
      </c>
      <c r="T464" s="374" t="s">
        <v>40</v>
      </c>
      <c r="U464" s="386">
        <f t="shared" si="33"/>
        <v>0</v>
      </c>
      <c r="V464" s="387">
        <v>0</v>
      </c>
      <c r="W464" s="388"/>
      <c r="X464" s="386">
        <f t="shared" si="34"/>
        <v>0</v>
      </c>
      <c r="Y464" s="387"/>
      <c r="Z464" s="388"/>
      <c r="AA464" s="386">
        <f t="shared" si="35"/>
        <v>0</v>
      </c>
      <c r="AB464" s="387"/>
      <c r="AC464" s="388"/>
    </row>
    <row r="465" spans="2:29">
      <c r="B465" s="29" t="s">
        <v>43</v>
      </c>
      <c r="C465" s="29" t="s">
        <v>549</v>
      </c>
      <c r="D465" s="29" t="s">
        <v>588</v>
      </c>
      <c r="E465" s="29">
        <v>349</v>
      </c>
      <c r="F465" s="38">
        <f>W485</f>
        <v>362549.12</v>
      </c>
      <c r="G465" s="38"/>
      <c r="H465" s="343">
        <f t="shared" si="32"/>
        <v>362549.12</v>
      </c>
      <c r="I465" s="38"/>
      <c r="J465" s="38"/>
      <c r="P465" s="374"/>
      <c r="Q465" s="374" t="s">
        <v>39</v>
      </c>
      <c r="R465" s="374" t="s">
        <v>553</v>
      </c>
      <c r="S465" s="374" t="s">
        <v>620</v>
      </c>
      <c r="T465" s="374" t="s">
        <v>40</v>
      </c>
      <c r="U465" s="386">
        <f t="shared" si="33"/>
        <v>0</v>
      </c>
      <c r="V465" s="387">
        <v>0</v>
      </c>
      <c r="W465" s="388"/>
      <c r="X465" s="386">
        <f t="shared" si="34"/>
        <v>0</v>
      </c>
      <c r="Y465" s="387"/>
      <c r="Z465" s="388"/>
      <c r="AA465" s="386">
        <f t="shared" si="35"/>
        <v>0</v>
      </c>
      <c r="AB465" s="387"/>
      <c r="AC465" s="388"/>
    </row>
    <row r="466" spans="2:29" s="319" customFormat="1">
      <c r="B466" s="319" t="s">
        <v>43</v>
      </c>
      <c r="C466" s="319" t="s">
        <v>549</v>
      </c>
      <c r="D466" s="319" t="s">
        <v>588</v>
      </c>
      <c r="E466" s="319" t="s">
        <v>48</v>
      </c>
      <c r="F466" s="283">
        <f>W477</f>
        <v>300000</v>
      </c>
      <c r="G466" s="283">
        <v>0</v>
      </c>
      <c r="H466" s="343">
        <f t="shared" si="32"/>
        <v>300000</v>
      </c>
      <c r="I466" s="283">
        <v>0</v>
      </c>
      <c r="J466" s="283">
        <v>0</v>
      </c>
      <c r="P466" s="374"/>
      <c r="Q466" s="374" t="s">
        <v>39</v>
      </c>
      <c r="R466" s="374" t="s">
        <v>549</v>
      </c>
      <c r="S466" s="374" t="s">
        <v>620</v>
      </c>
      <c r="T466" s="374" t="s">
        <v>35</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43</v>
      </c>
      <c r="C467" s="319" t="s">
        <v>555</v>
      </c>
      <c r="D467" s="319" t="s">
        <v>588</v>
      </c>
      <c r="E467" s="319" t="s">
        <v>48</v>
      </c>
      <c r="F467" s="283">
        <v>0</v>
      </c>
      <c r="G467" s="283">
        <v>0</v>
      </c>
      <c r="H467" s="343">
        <f t="shared" si="32"/>
        <v>0</v>
      </c>
      <c r="I467" s="283">
        <v>0</v>
      </c>
      <c r="J467" s="283">
        <v>0</v>
      </c>
      <c r="P467" s="374"/>
      <c r="Q467" s="374" t="s">
        <v>43</v>
      </c>
      <c r="R467" s="374" t="s">
        <v>549</v>
      </c>
      <c r="S467" s="374" t="s">
        <v>620</v>
      </c>
      <c r="T467" s="374" t="s">
        <v>44</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43</v>
      </c>
      <c r="C468" s="319" t="s">
        <v>555</v>
      </c>
      <c r="D468" s="319" t="s">
        <v>588</v>
      </c>
      <c r="E468" s="319" t="s">
        <v>48</v>
      </c>
      <c r="F468" s="283">
        <v>0</v>
      </c>
      <c r="G468" s="283">
        <v>0</v>
      </c>
      <c r="H468" s="343">
        <f t="shared" si="32"/>
        <v>0</v>
      </c>
      <c r="I468" s="283">
        <v>0</v>
      </c>
      <c r="J468" s="283">
        <v>0</v>
      </c>
      <c r="P468" s="374"/>
      <c r="Q468" s="374" t="s">
        <v>43</v>
      </c>
      <c r="R468" s="374" t="s">
        <v>549</v>
      </c>
      <c r="S468" s="374" t="s">
        <v>620</v>
      </c>
      <c r="T468" s="374" t="s">
        <v>45</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43</v>
      </c>
      <c r="C469" s="319" t="s">
        <v>549</v>
      </c>
      <c r="D469" s="319" t="s">
        <v>588</v>
      </c>
      <c r="E469" s="347">
        <v>342</v>
      </c>
      <c r="F469" s="283">
        <v>51570</v>
      </c>
      <c r="G469" s="283">
        <f>G382</f>
        <v>51570</v>
      </c>
      <c r="H469" s="343">
        <f t="shared" si="32"/>
        <v>0</v>
      </c>
      <c r="I469" s="283">
        <f>J382</f>
        <v>51570</v>
      </c>
      <c r="J469" s="283">
        <f>M382</f>
        <v>51570</v>
      </c>
      <c r="P469" s="374"/>
      <c r="Q469" s="374" t="s">
        <v>43</v>
      </c>
      <c r="R469" s="374" t="s">
        <v>549</v>
      </c>
      <c r="S469" s="374" t="s">
        <v>620</v>
      </c>
      <c r="T469" s="374" t="s">
        <v>46</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43</v>
      </c>
      <c r="C470" s="319" t="s">
        <v>549</v>
      </c>
      <c r="D470" s="319" t="s">
        <v>588</v>
      </c>
      <c r="E470" s="319" t="s">
        <v>49</v>
      </c>
      <c r="F470" s="283">
        <v>6171.52</v>
      </c>
      <c r="G470" s="283">
        <f>G376</f>
        <v>17864.91</v>
      </c>
      <c r="H470" s="343">
        <f t="shared" si="32"/>
        <v>-11693.39</v>
      </c>
      <c r="I470" s="283">
        <f>J376</f>
        <v>20977.18</v>
      </c>
      <c r="J470" s="283">
        <f>M376</f>
        <v>20789.150000000001</v>
      </c>
      <c r="P470" s="374"/>
      <c r="Q470" s="374" t="s">
        <v>43</v>
      </c>
      <c r="R470" s="374" t="s">
        <v>549</v>
      </c>
      <c r="S470" s="374" t="s">
        <v>620</v>
      </c>
      <c r="T470" s="374" t="s">
        <v>119</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43</v>
      </c>
      <c r="C471" s="319" t="s">
        <v>549</v>
      </c>
      <c r="D471" s="319" t="s">
        <v>588</v>
      </c>
      <c r="E471" s="319" t="s">
        <v>50</v>
      </c>
      <c r="F471" s="283">
        <f>W480</f>
        <v>537923.11</v>
      </c>
      <c r="G471" s="283">
        <f>G373+G374+G375+G377+G378+G379</f>
        <v>758034.1</v>
      </c>
      <c r="H471" s="343">
        <f t="shared" si="32"/>
        <v>-220110.99</v>
      </c>
      <c r="I471" s="283">
        <f>J373+J374+J375+J377+J378+J379</f>
        <v>758034.1</v>
      </c>
      <c r="J471" s="283">
        <f>M373+M374+M375+M377+M378+M379</f>
        <v>758034.1</v>
      </c>
      <c r="P471" s="374"/>
      <c r="Q471" s="374" t="s">
        <v>43</v>
      </c>
      <c r="R471" s="374" t="s">
        <v>549</v>
      </c>
      <c r="S471" s="374" t="s">
        <v>620</v>
      </c>
      <c r="T471" s="374" t="s">
        <v>47</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43</v>
      </c>
      <c r="C472" s="29" t="s">
        <v>554</v>
      </c>
      <c r="D472" s="29" t="s">
        <v>588</v>
      </c>
      <c r="E472" s="29" t="s">
        <v>50</v>
      </c>
      <c r="F472" s="38">
        <v>0</v>
      </c>
      <c r="G472" s="38">
        <v>0</v>
      </c>
      <c r="H472" s="343">
        <f t="shared" si="32"/>
        <v>0</v>
      </c>
      <c r="I472" s="38"/>
      <c r="J472" s="38"/>
      <c r="P472" s="374"/>
      <c r="Q472" s="374" t="s">
        <v>43</v>
      </c>
      <c r="R472" s="374" t="s">
        <v>549</v>
      </c>
      <c r="S472" s="374" t="s">
        <v>620</v>
      </c>
      <c r="T472" s="374" t="s">
        <v>38</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41</v>
      </c>
      <c r="C473" s="319" t="s">
        <v>549</v>
      </c>
      <c r="D473" s="319" t="s">
        <v>588</v>
      </c>
      <c r="E473" s="319" t="s">
        <v>42</v>
      </c>
      <c r="F473" s="283">
        <v>6460.4</v>
      </c>
      <c r="G473" s="283">
        <f>'Лист10(213,221-223,266,291-297)'!F52</f>
        <v>6460.4</v>
      </c>
      <c r="H473" s="343">
        <f t="shared" si="32"/>
        <v>0</v>
      </c>
      <c r="I473" s="283">
        <f>'Лист10(213,221-223,266,291-297)'!J52</f>
        <v>6460.4</v>
      </c>
      <c r="J473" s="283">
        <f>'Лист10(213,221-223,266,291-297)'!N52</f>
        <v>6460.4</v>
      </c>
      <c r="P473" s="374"/>
      <c r="Q473" s="374" t="s">
        <v>43</v>
      </c>
      <c r="R473" s="374" t="s">
        <v>554</v>
      </c>
      <c r="S473" s="374" t="s">
        <v>620</v>
      </c>
      <c r="T473" s="374" t="s">
        <v>38</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43</v>
      </c>
      <c r="R475" s="374" t="s">
        <v>555</v>
      </c>
      <c r="S475" s="374" t="s">
        <v>620</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593</v>
      </c>
      <c r="Q476" s="374" t="s">
        <v>43</v>
      </c>
      <c r="R476" s="374" t="s">
        <v>555</v>
      </c>
      <c r="S476" s="374" t="s">
        <v>556</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593</v>
      </c>
      <c r="Q478" s="374" t="s">
        <v>43</v>
      </c>
      <c r="R478" s="374" t="s">
        <v>555</v>
      </c>
      <c r="S478" s="374" t="s">
        <v>556</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622</v>
      </c>
      <c r="Q479" s="374" t="s">
        <v>43</v>
      </c>
      <c r="R479" s="437" t="s">
        <v>621</v>
      </c>
      <c r="S479" s="374" t="s">
        <v>620</v>
      </c>
      <c r="T479" s="374" t="s">
        <v>49</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43</v>
      </c>
      <c r="R480" s="374" t="s">
        <v>549</v>
      </c>
      <c r="S480" s="374" t="s">
        <v>620</v>
      </c>
      <c r="T480" s="374" t="s">
        <v>50</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43</v>
      </c>
      <c r="R481" s="374" t="s">
        <v>554</v>
      </c>
      <c r="S481" s="374" t="s">
        <v>620</v>
      </c>
      <c r="T481" s="374" t="s">
        <v>50</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41</v>
      </c>
      <c r="R482" s="374" t="s">
        <v>549</v>
      </c>
      <c r="S482" s="374" t="s">
        <v>620</v>
      </c>
      <c r="T482" s="374" t="s">
        <v>42</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43</v>
      </c>
      <c r="R494" s="29" t="s">
        <v>555</v>
      </c>
      <c r="S494" s="29" t="s">
        <v>620</v>
      </c>
      <c r="U494" s="38">
        <v>34630.9</v>
      </c>
      <c r="V494" s="38">
        <v>9448.0499999999993</v>
      </c>
    </row>
    <row r="495" spans="16:29">
      <c r="P495" s="29" t="s">
        <v>593</v>
      </c>
      <c r="Q495" s="29" t="s">
        <v>43</v>
      </c>
      <c r="R495" s="29" t="s">
        <v>555</v>
      </c>
      <c r="S495" s="29" t="s">
        <v>556</v>
      </c>
      <c r="U495" s="38">
        <v>361868.12</v>
      </c>
      <c r="V495" s="38">
        <v>98731.88</v>
      </c>
    </row>
    <row r="496" spans="16:29">
      <c r="P496" s="29" t="s">
        <v>623</v>
      </c>
      <c r="Q496" s="29" t="s">
        <v>43</v>
      </c>
      <c r="R496" s="29" t="s">
        <v>555</v>
      </c>
      <c r="S496" s="29">
        <v>30015204</v>
      </c>
      <c r="U496" s="38">
        <v>296119.36</v>
      </c>
      <c r="V496" s="38">
        <v>80780.639999999999</v>
      </c>
    </row>
    <row r="497" spans="2:29">
      <c r="U497" s="38">
        <f>SUM(U494:U496)</f>
        <v>692618.38</v>
      </c>
      <c r="V497" s="38">
        <f>SUM(V494:V496)</f>
        <v>188960.57</v>
      </c>
      <c r="W497" s="38">
        <f>SUM(U497:V497)</f>
        <v>881578.95</v>
      </c>
    </row>
    <row r="499" spans="2:29">
      <c r="B499" s="1120" t="s">
        <v>677</v>
      </c>
      <c r="C499" s="1120"/>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19:B21"/>
    <mergeCell ref="C19:C21"/>
    <mergeCell ref="D19:F19"/>
    <mergeCell ref="G19:I19"/>
    <mergeCell ref="J19:L19"/>
    <mergeCell ref="D20:D21"/>
    <mergeCell ref="F20:F21"/>
    <mergeCell ref="G20:G21"/>
    <mergeCell ref="I20:I21"/>
    <mergeCell ref="J20:J21"/>
    <mergeCell ref="L20:L21"/>
    <mergeCell ref="B7:B9"/>
    <mergeCell ref="C7:C9"/>
    <mergeCell ref="D7:F7"/>
    <mergeCell ref="G7:I7"/>
    <mergeCell ref="J7:L7"/>
    <mergeCell ref="D8:D9"/>
    <mergeCell ref="F8:F9"/>
    <mergeCell ref="G8:G9"/>
    <mergeCell ref="I8:I9"/>
    <mergeCell ref="J8:J9"/>
    <mergeCell ref="L8:L9"/>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2022-10-31T05:59:08Z</cp:lastPrinted>
  <dcterms:created xsi:type="dcterms:W3CDTF">2006-09-16T00:00:00Z</dcterms:created>
  <dcterms:modified xsi:type="dcterms:W3CDTF">2022-11-02T07:47:06Z</dcterms:modified>
</cp:coreProperties>
</file>